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6" activeTab="31"/>
  </bookViews>
  <sheets>
    <sheet name="Воробьевка" sheetId="1" r:id="rId1"/>
    <sheet name="Каменка" sheetId="2" r:id="rId2"/>
    <sheet name="Богучар" sheetId="3" r:id="rId3"/>
    <sheet name="Н.Девицк" sheetId="4" r:id="rId4"/>
    <sheet name="Семилуки" sheetId="5" r:id="rId5"/>
    <sheet name="В.Хава" sheetId="6" r:id="rId6"/>
    <sheet name="Анна" sheetId="7" r:id="rId7"/>
    <sheet name="Павловск" sheetId="8" r:id="rId8"/>
    <sheet name="Кантемировка" sheetId="9" r:id="rId9"/>
    <sheet name="Ольховатка" sheetId="10" r:id="rId10"/>
    <sheet name="Таловая" sheetId="11" r:id="rId11"/>
    <sheet name="Поворино" sheetId="12" r:id="rId12"/>
    <sheet name="Кашира" sheetId="13" r:id="rId13"/>
    <sheet name="Петропавловка" sheetId="14" r:id="rId14"/>
    <sheet name="Бобров" sheetId="15" r:id="rId15"/>
    <sheet name="Подгорное" sheetId="16" r:id="rId16"/>
    <sheet name="Хохол" sheetId="17" r:id="rId17"/>
    <sheet name="Бутурлиновка" sheetId="18" r:id="rId18"/>
    <sheet name="Панино" sheetId="19" r:id="rId19"/>
    <sheet name="Грибановка" sheetId="20" r:id="rId20"/>
    <sheet name="Борисоглебск" sheetId="21" r:id="rId21"/>
    <sheet name="В.Мамон" sheetId="22" r:id="rId22"/>
    <sheet name="Россошь" sheetId="23" r:id="rId23"/>
    <sheet name="Рамонь" sheetId="24" r:id="rId24"/>
    <sheet name="Репьевка" sheetId="25" r:id="rId25"/>
    <sheet name="Н.Усмань" sheetId="26" r:id="rId26"/>
    <sheet name="Терновка" sheetId="32" r:id="rId27"/>
    <sheet name="Новохоперск" sheetId="27" r:id="rId28"/>
    <sheet name="Острогожск" sheetId="28" r:id="rId29"/>
    <sheet name="Эртиль" sheetId="29" r:id="rId30"/>
    <sheet name="Калач" sheetId="30" r:id="rId31"/>
    <sheet name="Лиски" sheetId="31" r:id="rId32"/>
  </sheets>
  <calcPr calcId="152511"/>
</workbook>
</file>

<file path=xl/calcChain.xml><?xml version="1.0" encoding="utf-8"?>
<calcChain xmlns="http://schemas.openxmlformats.org/spreadsheetml/2006/main">
  <c r="E16" i="32" l="1"/>
  <c r="E15" i="32"/>
  <c r="E14" i="32"/>
  <c r="E13" i="32"/>
  <c r="E12" i="32"/>
  <c r="E11" i="32"/>
  <c r="E10" i="32"/>
  <c r="E9" i="32"/>
  <c r="E15" i="6" l="1"/>
  <c r="D15" i="6"/>
  <c r="H14" i="6"/>
  <c r="E14" i="6"/>
  <c r="D14" i="6"/>
  <c r="E13" i="6"/>
  <c r="D13" i="6"/>
  <c r="H13" i="6" s="1"/>
  <c r="E12" i="6"/>
  <c r="D12" i="6"/>
  <c r="H12" i="6" s="1"/>
  <c r="H11" i="6"/>
  <c r="E11" i="6"/>
  <c r="D11" i="6"/>
  <c r="H10" i="6"/>
  <c r="E10" i="6"/>
  <c r="D10" i="6"/>
  <c r="E9" i="6"/>
  <c r="D9" i="6"/>
  <c r="H9" i="6" s="1"/>
  <c r="D14" i="22" l="1"/>
  <c r="H14" i="22" s="1"/>
  <c r="D13" i="22"/>
  <c r="H13" i="22" s="1"/>
  <c r="D12" i="22"/>
  <c r="H12" i="22" s="1"/>
  <c r="D11" i="22"/>
  <c r="H11" i="22" s="1"/>
  <c r="D10" i="22"/>
  <c r="H10" i="22" s="1"/>
  <c r="E9" i="22"/>
  <c r="D9" i="22" s="1"/>
  <c r="H9" i="22" s="1"/>
  <c r="E15" i="25" l="1"/>
  <c r="D15" i="25"/>
  <c r="E14" i="25"/>
  <c r="D14" i="25"/>
  <c r="H14" i="25" s="1"/>
  <c r="E13" i="25"/>
  <c r="D13" i="25"/>
  <c r="H13" i="25" s="1"/>
  <c r="E12" i="25"/>
  <c r="D12" i="25"/>
  <c r="H12" i="25" s="1"/>
  <c r="E11" i="25"/>
  <c r="D11" i="25"/>
  <c r="H11" i="25" s="1"/>
  <c r="E10" i="25"/>
  <c r="D10" i="25"/>
  <c r="H10" i="25" s="1"/>
  <c r="E9" i="25"/>
  <c r="D9" i="25"/>
  <c r="H9" i="25" s="1"/>
  <c r="E16" i="28" l="1"/>
  <c r="D16" i="28"/>
  <c r="H13" i="28" s="1"/>
  <c r="E15" i="28"/>
  <c r="D15" i="28"/>
  <c r="H15" i="28" s="1"/>
  <c r="E14" i="28"/>
  <c r="D14" i="28"/>
  <c r="E13" i="28"/>
  <c r="D13" i="28"/>
  <c r="E12" i="28"/>
  <c r="D12" i="28"/>
  <c r="H12" i="28" s="1"/>
  <c r="E11" i="28"/>
  <c r="D11" i="28"/>
  <c r="H11" i="28" s="1"/>
  <c r="H10" i="28"/>
  <c r="E10" i="28"/>
  <c r="D10" i="28"/>
  <c r="E9" i="28"/>
  <c r="D9" i="28"/>
  <c r="H14" i="28" l="1"/>
  <c r="H9" i="28"/>
  <c r="F15" i="19" l="1"/>
  <c r="F14" i="19"/>
  <c r="D14" i="19"/>
  <c r="H14" i="19" s="1"/>
  <c r="F13" i="19"/>
  <c r="D13" i="19" s="1"/>
  <c r="F12" i="19"/>
  <c r="D12" i="19" s="1"/>
  <c r="H12" i="19" s="1"/>
  <c r="F11" i="19"/>
  <c r="D11" i="19"/>
  <c r="H11" i="19" s="1"/>
  <c r="F10" i="19"/>
  <c r="D10" i="19"/>
  <c r="H10" i="19" s="1"/>
  <c r="F9" i="19"/>
  <c r="D9" i="19" s="1"/>
  <c r="H9" i="19" s="1"/>
  <c r="E17" i="26" l="1"/>
  <c r="D17" i="26"/>
  <c r="E16" i="26"/>
  <c r="D16" i="26"/>
  <c r="E15" i="26"/>
  <c r="D15" i="26"/>
  <c r="E14" i="26"/>
  <c r="D14" i="26"/>
  <c r="E13" i="26"/>
  <c r="D13" i="26"/>
  <c r="H13" i="26" s="1"/>
  <c r="E12" i="26"/>
  <c r="D12" i="26"/>
  <c r="E11" i="26"/>
  <c r="D11" i="26"/>
  <c r="H11" i="26" s="1"/>
  <c r="E10" i="26"/>
  <c r="D10" i="26"/>
  <c r="E9" i="26"/>
  <c r="D9" i="26"/>
  <c r="H9" i="26" s="1"/>
  <c r="H16" i="26" l="1"/>
  <c r="H15" i="26"/>
  <c r="H10" i="26"/>
  <c r="H12" i="26"/>
  <c r="H14" i="26"/>
  <c r="D18" i="31"/>
  <c r="D17" i="31"/>
  <c r="D16" i="31"/>
  <c r="D15" i="31"/>
  <c r="D14" i="31"/>
  <c r="D13" i="31"/>
  <c r="D12" i="31"/>
  <c r="D11" i="31"/>
  <c r="D10" i="31"/>
  <c r="D9" i="31"/>
  <c r="H12" i="31" l="1"/>
  <c r="H10" i="31"/>
  <c r="H16" i="31"/>
  <c r="H14" i="31"/>
  <c r="H9" i="31"/>
  <c r="H13" i="31"/>
  <c r="H17" i="31"/>
  <c r="H11" i="31"/>
  <c r="H15" i="31"/>
  <c r="E14" i="29"/>
  <c r="D14" i="29" s="1"/>
  <c r="E13" i="29"/>
  <c r="D13" i="29" s="1"/>
  <c r="E12" i="29"/>
  <c r="D12" i="29" s="1"/>
  <c r="E11" i="29"/>
  <c r="D11" i="29" s="1"/>
  <c r="E10" i="29"/>
  <c r="D10" i="29" s="1"/>
  <c r="E9" i="29"/>
  <c r="D9" i="29" s="1"/>
  <c r="H9" i="29" l="1"/>
  <c r="H10" i="29"/>
  <c r="H12" i="29"/>
  <c r="H11" i="29"/>
  <c r="H13" i="29"/>
  <c r="E14" i="27" l="1"/>
  <c r="D14" i="27"/>
  <c r="E13" i="27"/>
  <c r="D13" i="27"/>
  <c r="E12" i="27"/>
  <c r="D12" i="27"/>
  <c r="E11" i="27"/>
  <c r="D11" i="27"/>
  <c r="E10" i="27"/>
  <c r="D10" i="27"/>
  <c r="E9" i="27"/>
  <c r="D9" i="27"/>
  <c r="H16" i="23" l="1"/>
  <c r="H15" i="23"/>
  <c r="H14" i="23"/>
  <c r="H13" i="23"/>
  <c r="H12" i="23"/>
  <c r="H11" i="23"/>
  <c r="H10" i="23"/>
  <c r="H9" i="23"/>
  <c r="G18" i="21" l="1"/>
  <c r="F18" i="21"/>
  <c r="G17" i="21"/>
  <c r="F17" i="21"/>
  <c r="D17" i="21" s="1"/>
  <c r="G16" i="21"/>
  <c r="F16" i="21"/>
  <c r="G15" i="21"/>
  <c r="F15" i="21"/>
  <c r="G14" i="21"/>
  <c r="F14" i="21"/>
  <c r="D14" i="21" s="1"/>
  <c r="F13" i="21"/>
  <c r="E13" i="21" s="1"/>
  <c r="G12" i="21"/>
  <c r="F12" i="21"/>
  <c r="D12" i="21" s="1"/>
  <c r="G11" i="21"/>
  <c r="F11" i="21"/>
  <c r="F10" i="21"/>
  <c r="E10" i="21" s="1"/>
  <c r="G9" i="21"/>
  <c r="F9" i="21"/>
  <c r="D9" i="21" s="1"/>
  <c r="E18" i="21" l="1"/>
  <c r="E12" i="21"/>
  <c r="E17" i="21"/>
  <c r="E11" i="21"/>
  <c r="E15" i="21"/>
  <c r="D18" i="21"/>
  <c r="H14" i="21" s="1"/>
  <c r="E14" i="21"/>
  <c r="E9" i="21"/>
  <c r="D13" i="21"/>
  <c r="E16" i="21"/>
  <c r="D15" i="21"/>
  <c r="D10" i="21"/>
  <c r="D16" i="21"/>
  <c r="D11" i="21"/>
  <c r="H16" i="21" l="1"/>
  <c r="H13" i="21"/>
  <c r="H10" i="21"/>
  <c r="H15" i="21"/>
  <c r="H17" i="21"/>
  <c r="H9" i="21"/>
  <c r="H11" i="21"/>
  <c r="H12" i="21"/>
  <c r="E14" i="17" l="1"/>
  <c r="D14" i="17"/>
  <c r="E13" i="17"/>
  <c r="D13" i="17"/>
  <c r="E12" i="17"/>
  <c r="D12" i="17"/>
  <c r="E11" i="17"/>
  <c r="D11" i="17"/>
  <c r="E10" i="17"/>
  <c r="D10" i="17"/>
  <c r="E9" i="17"/>
  <c r="D9" i="17"/>
  <c r="H9" i="17" l="1"/>
  <c r="H13" i="17"/>
  <c r="H10" i="17"/>
  <c r="H11" i="17"/>
  <c r="H12" i="17"/>
  <c r="D15" i="16" l="1"/>
  <c r="E14" i="16"/>
  <c r="D14" i="16"/>
  <c r="E13" i="16"/>
  <c r="D13" i="16"/>
  <c r="H13" i="16" s="1"/>
  <c r="E12" i="16"/>
  <c r="D12" i="16"/>
  <c r="E11" i="16"/>
  <c r="D11" i="16"/>
  <c r="H11" i="16" s="1"/>
  <c r="E10" i="16"/>
  <c r="D10" i="16"/>
  <c r="E9" i="16"/>
  <c r="D9" i="16"/>
  <c r="H9" i="16" s="1"/>
  <c r="H10" i="16" l="1"/>
  <c r="H12" i="16"/>
  <c r="H14" i="16"/>
  <c r="E18" i="15"/>
  <c r="D18" i="15"/>
  <c r="E17" i="15"/>
  <c r="D17" i="15"/>
  <c r="E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H9" i="15" l="1"/>
  <c r="H11" i="15"/>
  <c r="H14" i="15"/>
  <c r="H12" i="15"/>
  <c r="H15" i="15"/>
  <c r="H17" i="15"/>
  <c r="H13" i="15"/>
  <c r="H10" i="15"/>
  <c r="E9" i="13"/>
  <c r="D9" i="13"/>
  <c r="F14" i="12" l="1"/>
  <c r="D14" i="12" s="1"/>
  <c r="F13" i="12"/>
  <c r="D13" i="12" s="1"/>
  <c r="F12" i="12"/>
  <c r="D12" i="12" s="1"/>
  <c r="F11" i="12"/>
  <c r="D11" i="12" s="1"/>
  <c r="F10" i="12"/>
  <c r="D10" i="12" s="1"/>
  <c r="H10" i="12" s="1"/>
  <c r="F9" i="12"/>
  <c r="D9" i="12" s="1"/>
  <c r="H12" i="12" l="1"/>
  <c r="H11" i="12"/>
  <c r="H9" i="12"/>
  <c r="H13" i="12"/>
  <c r="E14" i="10"/>
  <c r="D14" i="10"/>
  <c r="E13" i="10"/>
  <c r="D13" i="10"/>
  <c r="E12" i="10"/>
  <c r="D12" i="10"/>
  <c r="E11" i="10"/>
  <c r="D11" i="10"/>
  <c r="E10" i="10"/>
  <c r="D10" i="10"/>
  <c r="E9" i="10"/>
  <c r="D9" i="10"/>
  <c r="H13" i="10" l="1"/>
  <c r="H10" i="10"/>
  <c r="H12" i="10"/>
  <c r="H9" i="10"/>
  <c r="H11" i="10"/>
  <c r="E15" i="9"/>
  <c r="D15" i="9"/>
  <c r="E14" i="9"/>
  <c r="D14" i="9"/>
  <c r="E13" i="9"/>
  <c r="D13" i="9"/>
  <c r="E12" i="9"/>
  <c r="D12" i="9"/>
  <c r="E11" i="9"/>
  <c r="D11" i="9"/>
  <c r="E10" i="9"/>
  <c r="D10" i="9"/>
  <c r="E9" i="9"/>
  <c r="D9" i="9"/>
  <c r="H9" i="9" l="1"/>
  <c r="H11" i="9"/>
  <c r="H13" i="9"/>
  <c r="H10" i="9"/>
  <c r="H14" i="9"/>
  <c r="H12" i="9"/>
  <c r="D15" i="8"/>
  <c r="D14" i="8"/>
  <c r="D13" i="8"/>
  <c r="D12" i="8"/>
  <c r="D11" i="8"/>
  <c r="D10" i="8"/>
  <c r="D9" i="8"/>
  <c r="H11" i="8" l="1"/>
  <c r="H9" i="8"/>
  <c r="H13" i="8"/>
  <c r="H10" i="8"/>
  <c r="H14" i="8"/>
  <c r="H12" i="8"/>
  <c r="H15" i="7"/>
  <c r="E15" i="7"/>
  <c r="H14" i="7"/>
  <c r="E14" i="7"/>
  <c r="H13" i="7"/>
  <c r="H12" i="7"/>
  <c r="H11" i="7"/>
  <c r="H10" i="7"/>
  <c r="H9" i="7"/>
  <c r="F17" i="5" l="1"/>
  <c r="E17" i="5" s="1"/>
  <c r="E16" i="5"/>
  <c r="D16" i="5"/>
  <c r="E15" i="5"/>
  <c r="D15" i="5"/>
  <c r="E14" i="5"/>
  <c r="D14" i="5"/>
  <c r="E13" i="5"/>
  <c r="D13" i="5"/>
  <c r="G12" i="5"/>
  <c r="F12" i="5"/>
  <c r="G11" i="5"/>
  <c r="E11" i="5" s="1"/>
  <c r="D11" i="5"/>
  <c r="E10" i="5"/>
  <c r="D10" i="5"/>
  <c r="E9" i="5"/>
  <c r="D9" i="5"/>
  <c r="E12" i="5" l="1"/>
  <c r="D12" i="5"/>
  <c r="D17" i="5"/>
  <c r="H14" i="5" s="1"/>
  <c r="H9" i="5" l="1"/>
  <c r="H16" i="5"/>
  <c r="H12" i="5"/>
  <c r="H15" i="5"/>
  <c r="H11" i="5"/>
  <c r="H13" i="5"/>
  <c r="H10" i="5"/>
  <c r="E13" i="4" l="1"/>
  <c r="D13" i="4"/>
  <c r="E12" i="4"/>
  <c r="D12" i="4"/>
  <c r="E11" i="4"/>
  <c r="D11" i="4"/>
  <c r="E10" i="4"/>
  <c r="D10" i="4"/>
  <c r="E9" i="4"/>
  <c r="D9" i="4"/>
  <c r="H9" i="4" l="1"/>
  <c r="H12" i="4"/>
  <c r="H11" i="4"/>
  <c r="H10" i="4"/>
  <c r="E15" i="3" l="1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H10" i="3" l="1"/>
  <c r="H9" i="3"/>
  <c r="H11" i="3"/>
  <c r="H13" i="3"/>
  <c r="H14" i="3"/>
  <c r="H12" i="3"/>
  <c r="F13" i="2"/>
  <c r="D13" i="2" s="1"/>
  <c r="G12" i="2"/>
  <c r="D12" i="2"/>
  <c r="G11" i="2"/>
  <c r="D11" i="2"/>
  <c r="G10" i="2"/>
  <c r="D10" i="2"/>
  <c r="G9" i="2"/>
  <c r="D9" i="2"/>
</calcChain>
</file>

<file path=xl/sharedStrings.xml><?xml version="1.0" encoding="utf-8"?>
<sst xmlns="http://schemas.openxmlformats.org/spreadsheetml/2006/main" count="1132" uniqueCount="368">
  <si>
    <t xml:space="preserve"> Информация о среднемесячной заработной плате руководителей, заместителей руководителей, главных бухгалтеров  государственных учреждений  Воронежской области </t>
  </si>
  <si>
    <t>за 2022 год</t>
  </si>
  <si>
    <t>(наименование учреждения)</t>
  </si>
  <si>
    <t>№ п/п</t>
  </si>
  <si>
    <t>Фамилия, имя, отчество</t>
  </si>
  <si>
    <t>Наименование должности</t>
  </si>
  <si>
    <t>Среднемесячная заработная плата , руб.(гр. 6/12)</t>
  </si>
  <si>
    <t>Фонд оплаты труда, всего, руб. (гр. 6+гр. 7)</t>
  </si>
  <si>
    <t>В том числе:</t>
  </si>
  <si>
    <t xml:space="preserve">Соотношение заработной платы руководящего состава и работников </t>
  </si>
  <si>
    <t>Фонд оплаты труда, учитываемый в расчете средего заработка, руб. (*)</t>
  </si>
  <si>
    <t>Фонд оплаты труда, не учитываемый в расчете средего заработка, руб. (*)</t>
  </si>
  <si>
    <t>Королева Светлана Ивановна</t>
  </si>
  <si>
    <t>Главный врач (руководитель, директор)</t>
  </si>
  <si>
    <t>Тарасова Ольга Владимировна</t>
  </si>
  <si>
    <t>…..</t>
  </si>
  <si>
    <t>Улаева Нина Викторовна</t>
  </si>
  <si>
    <t>Главный бухгалтер</t>
  </si>
  <si>
    <t>Прочие работники учреждения</t>
  </si>
  <si>
    <t>(*) В соответствии с Постановлением Правительства РФ от 24.12.2007 № 922 "Об особенностях порядка исчисления средней заработной платы"</t>
  </si>
  <si>
    <t>Руководитель (главный врач)</t>
  </si>
  <si>
    <t>Королева С.И.</t>
  </si>
  <si>
    <t>(подпись)</t>
  </si>
  <si>
    <t>(Ф.И.О.)</t>
  </si>
  <si>
    <t>Улаева  Н.В.</t>
  </si>
  <si>
    <t>БУЗ ВО "Каменская РБ"</t>
  </si>
  <si>
    <t>Фадеева Ольга Борисовна</t>
  </si>
  <si>
    <t>Главный врач</t>
  </si>
  <si>
    <t>Погорелов Василий Иванович</t>
  </si>
  <si>
    <t>Заместитель главного врача по клинико-эксперной работе</t>
  </si>
  <si>
    <t>Кайгермазова Татьяна Анатольевна</t>
  </si>
  <si>
    <t xml:space="preserve">Заместитель главного врача по экономическим вопросам </t>
  </si>
  <si>
    <t>Шевцова Галина Ивановна</t>
  </si>
  <si>
    <t>О.Б. Фадеева</t>
  </si>
  <si>
    <t>Г.И. Шевцова</t>
  </si>
  <si>
    <t>БУЗ ВО "Богучарская РБ"</t>
  </si>
  <si>
    <t>Греков Алексей Михайлович</t>
  </si>
  <si>
    <t>Кобелев Михаил Сергеевич</t>
  </si>
  <si>
    <t>Сывороткина Мария Сергеевна</t>
  </si>
  <si>
    <t>Станкевич Руслан Сергеевич</t>
  </si>
  <si>
    <t>Парастаев Дмитрий Викторович</t>
  </si>
  <si>
    <t>Капусткина Евгения Сергеевна</t>
  </si>
  <si>
    <t>А.М. Греков</t>
  </si>
  <si>
    <t>Е.С. Капусткина</t>
  </si>
  <si>
    <t>БУЗ ВО "Нижнедевицкая РБ"</t>
  </si>
  <si>
    <t>Шадрин Александр Александрович</t>
  </si>
  <si>
    <t xml:space="preserve">Главный врач </t>
  </si>
  <si>
    <t>Гнатюк Ольга Александровна</t>
  </si>
  <si>
    <t>Заместитель главного врача по медицинской части.</t>
  </si>
  <si>
    <t>Гусева Светлана Петровна</t>
  </si>
  <si>
    <t>Заместитель главного врача по медицинскому обслуживанию населения</t>
  </si>
  <si>
    <t>Малыхина Татьяна Васильевна</t>
  </si>
  <si>
    <t>БУЗ ВО "Семилукская РБ им.А.В.Гончарова"</t>
  </si>
  <si>
    <t>Акульшин Алексей Викторович</t>
  </si>
  <si>
    <t>Сидорова Татьяна Николаевна</t>
  </si>
  <si>
    <t>Заместитель главного врача по экономическим вопросам</t>
  </si>
  <si>
    <t>Быканов Вадим Николаевич</t>
  </si>
  <si>
    <t xml:space="preserve">Заместитель главного врача по поликлинической работе </t>
  </si>
  <si>
    <t>Свиридова Лидия Александровна</t>
  </si>
  <si>
    <t xml:space="preserve">Заместитель главного врача по медицинскй части </t>
  </si>
  <si>
    <t>Скуридина Марта Игоревна</t>
  </si>
  <si>
    <t xml:space="preserve">Заместитель главного врача по клинико-экспертной работе </t>
  </si>
  <si>
    <t>Григорьев Алексей Леонидович</t>
  </si>
  <si>
    <t xml:space="preserve">Заместитель главного врача по медицинскому обслуживанию населения </t>
  </si>
  <si>
    <t>Чернышова Екатерина Викторовна</t>
  </si>
  <si>
    <t xml:space="preserve">Заместитель главного врача по детству и родовспоможению </t>
  </si>
  <si>
    <t>Бабенкова Ольга Алексеевна</t>
  </si>
  <si>
    <t>А.В.Акульшин</t>
  </si>
  <si>
    <t>О.А.Бабенкова</t>
  </si>
  <si>
    <t>БУЗ ВО "Верхнехавская РБ"</t>
  </si>
  <si>
    <t>Бадеева И.А.</t>
  </si>
  <si>
    <t>Заместитель главного врача по медицинской части</t>
  </si>
  <si>
    <t>Заместитель главного врача по экспертизе временной нетрудоспособности</t>
  </si>
  <si>
    <t>Заместитель главного врача по поликлинической работе</t>
  </si>
  <si>
    <t>Баранчикова Л.А.</t>
  </si>
  <si>
    <t>БУЗ ВО "Аннинская РБ"</t>
  </si>
  <si>
    <t>Среднемесячная заработная плата, руб.(гр. 6/12)</t>
  </si>
  <si>
    <t xml:space="preserve">
Пегарьков Владимир Семенович 
</t>
  </si>
  <si>
    <t>Максён Марина Ивановна</t>
  </si>
  <si>
    <t>Максён Владимир Викторович</t>
  </si>
  <si>
    <t>Заместитель главного врача по медицинскому обслуживанию населения района</t>
  </si>
  <si>
    <t>Полесская Ольга Петровна</t>
  </si>
  <si>
    <t>Заместитель главного врача по клинико-экспертной работе</t>
  </si>
  <si>
    <t>Бреусов Дмитрий Евгеньевич</t>
  </si>
  <si>
    <t>Заместитель главного врача по хозяйственным вопросам</t>
  </si>
  <si>
    <t>Репкина Наталья Владимировна</t>
  </si>
  <si>
    <t>Зюзина Любовь Анатольевна</t>
  </si>
  <si>
    <t>(*) В соответствии с Постановлением Правительства РФ от 24.12.2007 №922 "Об особенностях порядка исчисления средней заработной платы"</t>
  </si>
  <si>
    <t>В.С.Пегарьков</t>
  </si>
  <si>
    <t>Л.А.Зюзина</t>
  </si>
  <si>
    <t>БУЗ ВО "Павловская РБ</t>
  </si>
  <si>
    <t>Королюк Александр Сергеевич</t>
  </si>
  <si>
    <t>Сарычева  Ирина Анатольевна</t>
  </si>
  <si>
    <t>Заместитель главного врача  по КЭР</t>
  </si>
  <si>
    <t>Коврыжкина Екатерина Владимировна</t>
  </si>
  <si>
    <t>Заместитель главного врача  по поликлинике</t>
  </si>
  <si>
    <t>Оськина Ольга Владимировна</t>
  </si>
  <si>
    <t>Заместитель главного врача  по медицинской части</t>
  </si>
  <si>
    <t>Тонконогова Тамара Михайловна</t>
  </si>
  <si>
    <t>Заместитель главного врача  по экономическим вопросам</t>
  </si>
  <si>
    <t>Пономарева Вера Семеновна</t>
  </si>
  <si>
    <t>А.С. Королюк</t>
  </si>
  <si>
    <t>В.С. Пономарева</t>
  </si>
  <si>
    <t>БУЗ ВО "Кантемировская РБ"</t>
  </si>
  <si>
    <t>Емельяненко Зоя Петровна</t>
  </si>
  <si>
    <t>Хрупина Валентина Васильевна</t>
  </si>
  <si>
    <t>Перковский Игорь Владимирович</t>
  </si>
  <si>
    <t>Семина  Марина Александровна</t>
  </si>
  <si>
    <t>Колупаева Наталья Андреевна</t>
  </si>
  <si>
    <t>Заднепрянская Стана Степановна</t>
  </si>
  <si>
    <t>З.П. Емельяненко</t>
  </si>
  <si>
    <t>С.С. Заднепрянская</t>
  </si>
  <si>
    <t>исп. Матвиенко Е.А.</t>
  </si>
  <si>
    <t>8(47367) 2-15-89</t>
  </si>
  <si>
    <t>БУЗ ВО "Ольховатская РБ"</t>
  </si>
  <si>
    <t>Латышев Владимир Алексеевич</t>
  </si>
  <si>
    <t>Бодрова Светлана Владимировна</t>
  </si>
  <si>
    <t>Шакалова Светлана Александровна</t>
  </si>
  <si>
    <t>Заместитель главного врача по лечебной части</t>
  </si>
  <si>
    <t>Литвиненко Елена Викторовна</t>
  </si>
  <si>
    <t xml:space="preserve">Главная медсестра </t>
  </si>
  <si>
    <t>Бельмасова Людмила Александровна</t>
  </si>
  <si>
    <t>Латышев В.А.</t>
  </si>
  <si>
    <t>Бельмасова Л.А.</t>
  </si>
  <si>
    <t xml:space="preserve">БУЗ ВО Таловская РБ </t>
  </si>
  <si>
    <t>Рябов Алексей вячеславович</t>
  </si>
  <si>
    <t>Леонтьев Игорь Леонидович</t>
  </si>
  <si>
    <t xml:space="preserve">Заместитель главного врача по медицинскому обслуживанию населения района </t>
  </si>
  <si>
    <t>Шатунова Ирина Викторовна</t>
  </si>
  <si>
    <t xml:space="preserve">Заместитель главного врача по медицинской части </t>
  </si>
  <si>
    <t xml:space="preserve">Бабкина Татьяна Викторовна </t>
  </si>
  <si>
    <t xml:space="preserve">Курындина Ольга Ивановна </t>
  </si>
  <si>
    <t>Заместитель главного врача по экономичесим вопросам</t>
  </si>
  <si>
    <t xml:space="preserve">Жилина Валентина Николаевна </t>
  </si>
  <si>
    <t>А.В.Рябов</t>
  </si>
  <si>
    <t xml:space="preserve">В.Н.Жилина </t>
  </si>
  <si>
    <t>БУЗ ВО "Поворинская РБ"</t>
  </si>
  <si>
    <t>Овсянникова Светлана Валентиновна</t>
  </si>
  <si>
    <t>Земцова Ольга Викторовна</t>
  </si>
  <si>
    <t>Звегинцева Людмила Борисовна</t>
  </si>
  <si>
    <t>Ефремова Людмила Владимировна</t>
  </si>
  <si>
    <t>Главная медицинская сестра</t>
  </si>
  <si>
    <t>Колодезникова Любовь Анатольевна</t>
  </si>
  <si>
    <t>И.о.главного врача</t>
  </si>
  <si>
    <t>О.В.Земцова</t>
  </si>
  <si>
    <t>Л.А.Колодезникова</t>
  </si>
  <si>
    <t>БУЗ ВО"Каширская РБ"</t>
  </si>
  <si>
    <t>Старухин Павел Васильевич</t>
  </si>
  <si>
    <t>Савидов Сергей Анатольевич</t>
  </si>
  <si>
    <t>Заместитель главного врача по эспертизе временной нетрудоспособности</t>
  </si>
  <si>
    <t>101 642,28</t>
  </si>
  <si>
    <t>Прыткова Оксана Витальевна</t>
  </si>
  <si>
    <t>Старухин П.В.</t>
  </si>
  <si>
    <t>Прыткова О.В.</t>
  </si>
  <si>
    <t>БУЗ ВО "Петропавловская РБ"</t>
  </si>
  <si>
    <t>Прошунин Роман Иванович</t>
  </si>
  <si>
    <t>Шевченко Ольга Алексеевна</t>
  </si>
  <si>
    <t>Зайцев Сергей Николаевич</t>
  </si>
  <si>
    <t>Кувшинова Марина Владимировна</t>
  </si>
  <si>
    <t xml:space="preserve">Р.И. Прошунин </t>
  </si>
  <si>
    <t>М.В. Кувшинова</t>
  </si>
  <si>
    <t>БУЗ ВО "Бобровская РБ"</t>
  </si>
  <si>
    <t>Шурупов Роман Александрович</t>
  </si>
  <si>
    <t>Сажнев Дмитрий Игоревич</t>
  </si>
  <si>
    <t>Рыжов Владимир Александрович</t>
  </si>
  <si>
    <t>Квасова Мария Владимировна</t>
  </si>
  <si>
    <t>Заместитель главного врача по поликлинике</t>
  </si>
  <si>
    <t>Собкалова Анна Николаевна</t>
  </si>
  <si>
    <t>Заместитель главного врача по КЭР</t>
  </si>
  <si>
    <t>Скачкова Виктория Сергеевна</t>
  </si>
  <si>
    <t>Лубкова Любовь Николаевна</t>
  </si>
  <si>
    <t>Верховых Тамара Петровна</t>
  </si>
  <si>
    <t>Шурупов Р.А.</t>
  </si>
  <si>
    <t>Верховых Т.П.</t>
  </si>
  <si>
    <t>БУЗ ВО Подгоренская РБ</t>
  </si>
  <si>
    <t>Ованесов Алексей Александрович</t>
  </si>
  <si>
    <t>Ендовицкий Виктор Георгиевич</t>
  </si>
  <si>
    <t>Сухомлинова Татьяна Семёновна</t>
  </si>
  <si>
    <t>Мудракова Ирина Вячеславовна</t>
  </si>
  <si>
    <t>Костюкова Зоя Сергеевна</t>
  </si>
  <si>
    <t>Винникова Татьяна Михайловна</t>
  </si>
  <si>
    <t>Ованесов А.А.</t>
  </si>
  <si>
    <t>Винникова Т.М.</t>
  </si>
  <si>
    <t>847394 53-0-35</t>
  </si>
  <si>
    <t>БУЗ ВО Хохольская РБ"</t>
  </si>
  <si>
    <t>Чернова Татьяна Александровна</t>
  </si>
  <si>
    <t>Наконечная Елена Васильевна</t>
  </si>
  <si>
    <t>Золотых Алексей Владимирович</t>
  </si>
  <si>
    <t>Жеребятьева Лариса Михайловна</t>
  </si>
  <si>
    <t>Панина Елена Викторовна</t>
  </si>
  <si>
    <t>БУЗ ВО "Бутурлиновская РБ"</t>
  </si>
  <si>
    <t>Сычев Е.В</t>
  </si>
  <si>
    <t>Заместитель главного врача по экономике по 30.06.2022</t>
  </si>
  <si>
    <t>Заместитель главного врач по экономике с 01.07.2022</t>
  </si>
  <si>
    <t>Заместитель руководителя по хозяйственным вопросам</t>
  </si>
  <si>
    <t>Халанская Е.С</t>
  </si>
  <si>
    <t>БУЗ ВО "Панинская РБ"</t>
  </si>
  <si>
    <t>Г.И. Рогачёв</t>
  </si>
  <si>
    <t>Н.Н. Мягкова</t>
  </si>
  <si>
    <t>исп.</t>
  </si>
  <si>
    <t>Бочарова Е.А. 8-473-44-4-74-30</t>
  </si>
  <si>
    <t>Жеребцова Н.В.</t>
  </si>
  <si>
    <t>БУЗ ВО "Грибановская РБ"</t>
  </si>
  <si>
    <t>Разина Е.Н.</t>
  </si>
  <si>
    <t>Заместитель главного врача по экспертизе временной нетрудоспособности..</t>
  </si>
  <si>
    <t>Буравлева Н.И.</t>
  </si>
  <si>
    <t>БУЗ ВО "Борисоглебская РБ"</t>
  </si>
  <si>
    <t>Коробов Владимир Валентинович</t>
  </si>
  <si>
    <t>Агеева Вера Владимировна</t>
  </si>
  <si>
    <t>Заместитель главного врача по детству и родовспоможению</t>
  </si>
  <si>
    <t>Климова Людмила Яковлевна</t>
  </si>
  <si>
    <t>Корецкая Екатерина Владимировна</t>
  </si>
  <si>
    <t>Назаренко Ольга Владимировна</t>
  </si>
  <si>
    <t>Филиппова Елене Ивановна</t>
  </si>
  <si>
    <t>Щербинина Елена Васильевна</t>
  </si>
  <si>
    <t>Щёлокова Лидия Михайловна</t>
  </si>
  <si>
    <t>Филатникова Ольга Валерьевна</t>
  </si>
  <si>
    <t>БУЗ ВО "Верхнемамонская РБ"</t>
  </si>
  <si>
    <t>Заместитель главного врача по экономической работе</t>
  </si>
  <si>
    <t>С.М. Шишлянников</t>
  </si>
  <si>
    <t>И.Е. Сидорова</t>
  </si>
  <si>
    <t>БУЗ ВО "Россошанская РБ"</t>
  </si>
  <si>
    <t>Кравченко  Марина Анатольевна</t>
  </si>
  <si>
    <t>Всесвятская Светлана Викторовна</t>
  </si>
  <si>
    <t>Заместитель главного врача по медицинскому обслуживанию  населения</t>
  </si>
  <si>
    <t>Есин Александр Александрович</t>
  </si>
  <si>
    <t>Заместитель главного врача по лечебной работе</t>
  </si>
  <si>
    <t>Ярошева Елена Валерьевна</t>
  </si>
  <si>
    <t>Чичмарева Екатерина Евгеньевна</t>
  </si>
  <si>
    <t>Кондакова светлана Владимировна</t>
  </si>
  <si>
    <t>Ярошева Наталья Дмитриевна</t>
  </si>
  <si>
    <t>Каюрова Таисия Николаевна</t>
  </si>
  <si>
    <t>М.А.Кравченко</t>
  </si>
  <si>
    <t>Т.Н.Каюрова</t>
  </si>
  <si>
    <t>БУЗ ВО "Рамонская РБ"</t>
  </si>
  <si>
    <t>Новомлинская 
Наталия Ивановна</t>
  </si>
  <si>
    <t>Шаповалова
Жанна Анатольевна</t>
  </si>
  <si>
    <t>Зам. главного врача по меицинской части</t>
  </si>
  <si>
    <t>Яковлева
 Валентина Васильевна</t>
  </si>
  <si>
    <t>Зам. главного врача по клинико экспертной работе</t>
  </si>
  <si>
    <t>Орлова 
Надежда Сергеевна</t>
  </si>
  <si>
    <t>Зам. главного врача по
 экономическим вопросам</t>
  </si>
  <si>
    <t>Родионова
Светлана Викторовна</t>
  </si>
  <si>
    <t>Новомлинская Н.И.</t>
  </si>
  <si>
    <t>Родионова С.В.</t>
  </si>
  <si>
    <t>БУЗ ВО "Репьевская РБ"</t>
  </si>
  <si>
    <t xml:space="preserve">                Н.С.Акульшина</t>
  </si>
  <si>
    <t>И.И.Пентюхина</t>
  </si>
  <si>
    <t xml:space="preserve">БУЗ ВО "Новоусманская РБ" </t>
  </si>
  <si>
    <t>Потанин Игорь Николаевич</t>
  </si>
  <si>
    <t>Колмыченко Владимир Борисович</t>
  </si>
  <si>
    <t>Богомолова Светлана Ивановна</t>
  </si>
  <si>
    <t>Рябых Александр Александрович</t>
  </si>
  <si>
    <t>Шевченко Наталья Евгеньевна</t>
  </si>
  <si>
    <t xml:space="preserve"> Бударина Любовь Витальевна</t>
  </si>
  <si>
    <t xml:space="preserve">Заместитель главного врача  по детству и родовспоможению </t>
  </si>
  <si>
    <t>Морозова Марина Сергеевна</t>
  </si>
  <si>
    <t>Заместитель главного врача  по  экономическим вопросам</t>
  </si>
  <si>
    <t>Саратовский Роман Леонидович</t>
  </si>
  <si>
    <t>Потанин И. Н.</t>
  </si>
  <si>
    <t>Саратовский Р. Л.</t>
  </si>
  <si>
    <t>Исполнитель: Морозова М. С</t>
  </si>
  <si>
    <t>тел. (47341)-5-34-03</t>
  </si>
  <si>
    <t>БУЗ ВО "Новохоперская РБ"</t>
  </si>
  <si>
    <t>Ишин Валерий Михайлович</t>
  </si>
  <si>
    <t>Бондаренко Нина Владимировна</t>
  </si>
  <si>
    <t>Пивоварова Галина Николаевна</t>
  </si>
  <si>
    <t>Махотина Людмила Васильевна</t>
  </si>
  <si>
    <t>Заместитель главного врача по клинико- экспертной работе</t>
  </si>
  <si>
    <t>Каданцева Ирина Викторовна</t>
  </si>
  <si>
    <t>В.М.Ишин</t>
  </si>
  <si>
    <t>И.В.каданцева</t>
  </si>
  <si>
    <t>БУЗ   ВО    "Острогожская РБ"</t>
  </si>
  <si>
    <t>Зязин О.Ю.</t>
  </si>
  <si>
    <t>Козорезова Е.С.</t>
  </si>
  <si>
    <t>БУЗ ВО Эртильская РБ"</t>
  </si>
  <si>
    <t>Фурсова Марина Евгеньевна</t>
  </si>
  <si>
    <t>Котова Ирина Владимировна</t>
  </si>
  <si>
    <t>Боева Ольга Юрьевна</t>
  </si>
  <si>
    <t>Кулешова Татьяна Викторовна</t>
  </si>
  <si>
    <t>Иванова Галина Владимировна</t>
  </si>
  <si>
    <t>М. Е. Фурсова</t>
  </si>
  <si>
    <t>М. М. Голева</t>
  </si>
  <si>
    <t>БУЗ ВО "Калачеевская РБ"</t>
  </si>
  <si>
    <t>Усков Алексей Викторович</t>
  </si>
  <si>
    <t>Ковярова Марина Викторовна</t>
  </si>
  <si>
    <t>Бойкова Татьяна Ивановна</t>
  </si>
  <si>
    <t>Фоменко Лариса Александровна</t>
  </si>
  <si>
    <t>Савченко Елена Александровна</t>
  </si>
  <si>
    <t>Павленко Наталья Николаевна</t>
  </si>
  <si>
    <t>Главная медсестра</t>
  </si>
  <si>
    <t>Гайкова Марина Валериевна</t>
  </si>
  <si>
    <t>А.В. Усков</t>
  </si>
  <si>
    <t>М.В. Гайкова</t>
  </si>
  <si>
    <t>БУЗ ВО "Лискинская РБ"</t>
  </si>
  <si>
    <t>Барковская Елена Викторовна</t>
  </si>
  <si>
    <t>Натаров Алексей Алексеевич</t>
  </si>
  <si>
    <t>Бережная Елена Александровна</t>
  </si>
  <si>
    <t>Голева Елена Владимировна</t>
  </si>
  <si>
    <t>Дубачев Андрей Александрович</t>
  </si>
  <si>
    <t>Ломакина Людмила Викторовна</t>
  </si>
  <si>
    <t>Мелашенко Марина Анатольевна</t>
  </si>
  <si>
    <t>Фролова Тамара Алексеевна</t>
  </si>
  <si>
    <t>Дмитриева Валентина Васильевна</t>
  </si>
  <si>
    <t>Прочие работники учреждения (1473,8)</t>
  </si>
  <si>
    <t>Примечание:</t>
  </si>
  <si>
    <t>В расчет среднемесячной заработной платы по строке 1 категории "Главный врач" включен расчет за неиспользованные дни отпуска при увольнении в количестве 112 календарных дней.</t>
  </si>
  <si>
    <t>А.А. Натаров</t>
  </si>
  <si>
    <t>В.В. Дмитриева</t>
  </si>
  <si>
    <t>БУЗ ВО "Терновская РБ"</t>
  </si>
  <si>
    <t>Кирсанов Анатолий Петрович</t>
  </si>
  <si>
    <t>Чесноков Евгений Анатольевич</t>
  </si>
  <si>
    <t>Жданова Татьяна Аркадиевна</t>
  </si>
  <si>
    <t>Красникова Елена Вячеславовна</t>
  </si>
  <si>
    <t>Останко Андрей Николаевич</t>
  </si>
  <si>
    <t>Деревянко Наталия Александровна</t>
  </si>
  <si>
    <t>Гахова Наталия Николаевна</t>
  </si>
  <si>
    <t>Е.А. Чесноков</t>
  </si>
  <si>
    <t>Н.Н. Гахова</t>
  </si>
  <si>
    <t>Заместитель главного врача по обслуживанию населения.</t>
  </si>
  <si>
    <t>Заместитель главного врача по клинико-экспертной работе.</t>
  </si>
  <si>
    <t>Заместитель главного врача по экономическим вопросам.</t>
  </si>
  <si>
    <t>Заместитель главного врача  по клинико-экспертной работе</t>
  </si>
  <si>
    <t>Рогачёв Геннадий Иванович</t>
  </si>
  <si>
    <t>Крюкова Любовь Митрофановна</t>
  </si>
  <si>
    <t>Скорынина Вера Викторовна</t>
  </si>
  <si>
    <t>Сергеева Ольга Николаевна</t>
  </si>
  <si>
    <t>Мягкова Наталья Николаевна</t>
  </si>
  <si>
    <t>БУЗ ВО "Воробьевская РБ"</t>
  </si>
  <si>
    <t>Заместитель главного врача</t>
  </si>
  <si>
    <t>Зязин Олег Юрьевич</t>
  </si>
  <si>
    <t>Крейдина Елена Вячеславовна</t>
  </si>
  <si>
    <t>Шилин Виталий Николаевич</t>
  </si>
  <si>
    <t>Манаев Василий Васильевич</t>
  </si>
  <si>
    <t>Минькова Валентина Владимировна</t>
  </si>
  <si>
    <t>Сухинина Валентина Ивановна</t>
  </si>
  <si>
    <t>Козорезова Елена Семеновна</t>
  </si>
  <si>
    <t>Акульшина Надежда Сергеевна</t>
  </si>
  <si>
    <t>Измайлова Елена Сергеевна</t>
  </si>
  <si>
    <t>Закаблукова Анна Андреевна</t>
  </si>
  <si>
    <t>Беловодская Татьяна Владимировна</t>
  </si>
  <si>
    <t>Курилова Роза Минразиевна</t>
  </si>
  <si>
    <t>Пентюхина Ирина Ивановна</t>
  </si>
  <si>
    <t>Шишлянников Семен Михайлович</t>
  </si>
  <si>
    <t>Сорокина Наталья Владимировна</t>
  </si>
  <si>
    <t>Чаплыгина Оксана Николаевна</t>
  </si>
  <si>
    <t>Дурнева Валентина Викторовна</t>
  </si>
  <si>
    <t>Щёголева Людмила Алексеевна</t>
  </si>
  <si>
    <t>Сидорова Ирина Евгеньевна</t>
  </si>
  <si>
    <t>Бадеева Ирина Анатольевна</t>
  </si>
  <si>
    <t>Жильцова Светлана Васильевна</t>
  </si>
  <si>
    <t>Шустов Алексей Викторович</t>
  </si>
  <si>
    <t>Куркина Тазагуль Турсинбаевна</t>
  </si>
  <si>
    <t>Селиверстова Марина Васильевна</t>
  </si>
  <si>
    <t xml:space="preserve"> </t>
  </si>
  <si>
    <t>Сычев Евгений Владимирович</t>
  </si>
  <si>
    <t>Сафонова Наталья Александровна</t>
  </si>
  <si>
    <t>Поликанова Ольга Васильевна</t>
  </si>
  <si>
    <t>Соловьева Марина Ивановна</t>
  </si>
  <si>
    <t>Бруслова Юлия Николаевна</t>
  </si>
  <si>
    <t>Халанский Сергей Александрович</t>
  </si>
  <si>
    <t>Халанская Елена Станиславовна</t>
  </si>
  <si>
    <t>Бугаева Галина Ивановна</t>
  </si>
  <si>
    <t>Разина Елена Николаевна</t>
  </si>
  <si>
    <t>Рязанов Юрий Владимирович</t>
  </si>
  <si>
    <t>Жильцова Татьяна Петровна</t>
  </si>
  <si>
    <t>Власова Ирина Анатольевна</t>
  </si>
  <si>
    <t>Буравлева Надежда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</si>
</sst>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.5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30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wrapText="1"/>
    </xf>
    <xf numFmtId="0" fontId="0" fillId="0" borderId="0" xfId="0"/>
    <xf numFmtId="0" fontId="2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4" fontId="2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2" fontId="2" fillId="0" borderId="3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3" xfId="0" applyFont="1" applyBorder="1" applyAlignment="1">
      <alignment vertical="top" wrapText="1"/>
    </xf>
    <xf numFmtId="0" fontId="0" fillId="0" borderId="0" xfId="0"/>
    <xf numFmtId="0" fontId="2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4" fontId="2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2" fontId="2" fillId="0" borderId="3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64" fontId="2" fillId="0" borderId="3" xfId="0" applyNumberFormat="1" applyFont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3" fontId="2" fillId="0" borderId="3" xfId="0" applyNumberFormat="1" applyFont="1" applyFill="1" applyBorder="1" applyAlignment="1">
      <alignment wrapText="1"/>
    </xf>
    <xf numFmtId="4" fontId="2" fillId="2" borderId="3" xfId="0" applyNumberFormat="1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4" fontId="2" fillId="0" borderId="0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/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4" fontId="8" fillId="0" borderId="3" xfId="0" applyNumberFormat="1" applyFont="1" applyBorder="1" applyAlignment="1">
      <alignment wrapText="1"/>
    </xf>
    <xf numFmtId="0" fontId="8" fillId="0" borderId="3" xfId="0" applyFont="1" applyBorder="1" applyAlignment="1">
      <alignment wrapText="1"/>
    </xf>
    <xf numFmtId="4" fontId="8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0" fontId="11" fillId="0" borderId="6" xfId="1" applyFont="1" applyFill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wrapText="1"/>
    </xf>
    <xf numFmtId="1" fontId="2" fillId="0" borderId="3" xfId="0" applyNumberFormat="1" applyFont="1" applyBorder="1" applyAlignment="1">
      <alignment horizontal="center" wrapText="1"/>
    </xf>
    <xf numFmtId="4" fontId="0" fillId="0" borderId="0" xfId="0" applyNumberFormat="1"/>
    <xf numFmtId="2" fontId="0" fillId="0" borderId="0" xfId="0" applyNumberFormat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3" fillId="0" borderId="3" xfId="0" applyFont="1" applyBorder="1" applyAlignment="1">
      <alignment horizontal="center" wrapText="1"/>
    </xf>
    <xf numFmtId="4" fontId="13" fillId="0" borderId="3" xfId="0" applyNumberFormat="1" applyFont="1" applyBorder="1" applyAlignment="1">
      <alignment wrapText="1"/>
    </xf>
    <xf numFmtId="0" fontId="13" fillId="0" borderId="3" xfId="0" applyFont="1" applyBorder="1" applyAlignment="1">
      <alignment wrapText="1"/>
    </xf>
    <xf numFmtId="2" fontId="13" fillId="0" borderId="3" xfId="0" applyNumberFormat="1" applyFont="1" applyBorder="1" applyAlignment="1">
      <alignment horizontal="center" wrapText="1"/>
    </xf>
    <xf numFmtId="4" fontId="13" fillId="0" borderId="0" xfId="0" applyNumberFormat="1" applyFont="1" applyAlignment="1">
      <alignment wrapText="1"/>
    </xf>
    <xf numFmtId="0" fontId="13" fillId="0" borderId="1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3" fillId="0" borderId="0" xfId="0" applyFont="1" applyAlignment="1">
      <alignment horizontal="center" wrapText="1"/>
    </xf>
    <xf numFmtId="4" fontId="2" fillId="0" borderId="3" xfId="0" applyNumberFormat="1" applyFont="1" applyFill="1" applyBorder="1" applyAlignment="1">
      <alignment wrapText="1"/>
    </xf>
    <xf numFmtId="4" fontId="2" fillId="0" borderId="3" xfId="0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3" fillId="0" borderId="0" xfId="0" applyFont="1" applyProtection="1">
      <protection locked="0"/>
    </xf>
    <xf numFmtId="0" fontId="2" fillId="0" borderId="0" xfId="0" applyFont="1"/>
    <xf numFmtId="3" fontId="2" fillId="0" borderId="3" xfId="0" applyNumberFormat="1" applyFont="1" applyBorder="1" applyAlignment="1">
      <alignment horizontal="center" vertical="center" wrapText="1"/>
    </xf>
    <xf numFmtId="4" fontId="16" fillId="0" borderId="3" xfId="1" applyNumberFormat="1" applyFont="1" applyBorder="1"/>
    <xf numFmtId="0" fontId="16" fillId="0" borderId="7" xfId="1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0" xfId="0" applyFont="1" applyAlignment="1">
      <alignment horizontal="left" wrapText="1"/>
    </xf>
    <xf numFmtId="0" fontId="0" fillId="0" borderId="1" xfId="0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B11" sqref="B11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customHeight="1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328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92" t="s">
        <v>10</v>
      </c>
      <c r="G7" s="92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21" t="s">
        <v>12</v>
      </c>
      <c r="C9" s="22" t="s">
        <v>46</v>
      </c>
      <c r="D9" s="21">
        <v>103252.76</v>
      </c>
      <c r="E9" s="21">
        <v>1713805.57</v>
      </c>
      <c r="F9" s="21">
        <v>1239033.1200000001</v>
      </c>
      <c r="G9" s="21">
        <v>474772.45</v>
      </c>
      <c r="H9" s="23">
        <v>3.2</v>
      </c>
      <c r="I9" s="18"/>
      <c r="J9" s="18"/>
    </row>
    <row r="10" spans="1:10" x14ac:dyDescent="0.25">
      <c r="A10" s="20">
        <v>2</v>
      </c>
      <c r="B10" s="21" t="s">
        <v>14</v>
      </c>
      <c r="C10" s="22" t="s">
        <v>329</v>
      </c>
      <c r="D10" s="21">
        <v>107299.01</v>
      </c>
      <c r="E10" s="21">
        <v>914637.49</v>
      </c>
      <c r="F10" s="21">
        <v>858392.09</v>
      </c>
      <c r="G10" s="21">
        <v>56245.4</v>
      </c>
      <c r="H10" s="23">
        <v>3.3</v>
      </c>
      <c r="I10" s="18"/>
      <c r="J10" s="18"/>
    </row>
    <row r="11" spans="1:10" x14ac:dyDescent="0.25">
      <c r="A11" s="20">
        <v>4</v>
      </c>
      <c r="B11" s="21" t="s">
        <v>16</v>
      </c>
      <c r="C11" s="22" t="s">
        <v>17</v>
      </c>
      <c r="D11" s="21">
        <v>84849.05</v>
      </c>
      <c r="E11" s="21">
        <v>1097979.73</v>
      </c>
      <c r="F11" s="21">
        <v>1018188.58</v>
      </c>
      <c r="G11" s="21">
        <v>79791.149999999994</v>
      </c>
      <c r="H11" s="23">
        <v>2.6</v>
      </c>
      <c r="I11" s="18"/>
      <c r="J11" s="18"/>
    </row>
    <row r="12" spans="1:10" x14ac:dyDescent="0.25">
      <c r="A12" s="22"/>
      <c r="B12" s="106" t="s">
        <v>18</v>
      </c>
      <c r="C12" s="107"/>
      <c r="D12" s="21">
        <v>32472.09</v>
      </c>
      <c r="E12" s="21">
        <v>108804203.20999999</v>
      </c>
      <c r="F12" s="21">
        <v>95467914.650000006</v>
      </c>
      <c r="G12" s="21">
        <v>13336238.560000001</v>
      </c>
      <c r="H12" s="20"/>
      <c r="I12" s="18"/>
      <c r="J12" s="18"/>
    </row>
    <row r="13" spans="1:10" x14ac:dyDescent="0.25">
      <c r="A13" s="18"/>
      <c r="B13" s="18"/>
      <c r="C13" s="18"/>
      <c r="D13" s="18"/>
      <c r="E13" s="24"/>
      <c r="F13" s="24"/>
      <c r="G13" s="24"/>
      <c r="H13" s="18"/>
      <c r="I13" s="18"/>
      <c r="J13" s="18"/>
    </row>
    <row r="14" spans="1:10" x14ac:dyDescent="0.25">
      <c r="A14" s="108" t="s">
        <v>19</v>
      </c>
      <c r="B14" s="108"/>
      <c r="C14" s="108"/>
      <c r="D14" s="108"/>
      <c r="E14" s="108"/>
      <c r="F14" s="108"/>
      <c r="G14" s="108"/>
      <c r="H14" s="108"/>
      <c r="I14" s="108"/>
      <c r="J14" s="108"/>
    </row>
    <row r="15" spans="1:10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 s="18"/>
      <c r="B18" s="18" t="s">
        <v>20</v>
      </c>
      <c r="C18" s="25"/>
      <c r="D18" s="26"/>
      <c r="E18" s="91" t="s">
        <v>21</v>
      </c>
      <c r="F18" s="25"/>
      <c r="G18" s="18"/>
      <c r="H18" s="18"/>
      <c r="I18" s="18"/>
      <c r="J18" s="18"/>
    </row>
    <row r="19" spans="1:10" x14ac:dyDescent="0.25">
      <c r="A19" s="18"/>
      <c r="B19" s="18"/>
      <c r="C19" s="28" t="s">
        <v>22</v>
      </c>
      <c r="D19" s="18"/>
      <c r="E19" s="99" t="s">
        <v>23</v>
      </c>
      <c r="F19" s="99"/>
      <c r="G19" s="18"/>
      <c r="H19" s="18"/>
      <c r="I19" s="18"/>
      <c r="J19" s="1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 t="s">
        <v>17</v>
      </c>
      <c r="C21" s="25"/>
      <c r="D21" s="26"/>
      <c r="E21" s="91" t="s">
        <v>24</v>
      </c>
      <c r="F21" s="25"/>
      <c r="G21" s="18"/>
      <c r="H21" s="18"/>
      <c r="I21" s="18"/>
      <c r="J21" s="18"/>
    </row>
    <row r="22" spans="1:10" x14ac:dyDescent="0.25">
      <c r="A22" s="18"/>
      <c r="B22" s="18"/>
      <c r="C22" s="28" t="s">
        <v>22</v>
      </c>
      <c r="D22" s="18"/>
      <c r="E22" s="99" t="s">
        <v>23</v>
      </c>
      <c r="F22" s="99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</sheetData>
  <mergeCells count="14">
    <mergeCell ref="E19:F19"/>
    <mergeCell ref="E22:F22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2:C12"/>
    <mergeCell ref="A14:J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16" sqref="A16:J16"/>
    </sheetView>
  </sheetViews>
  <sheetFormatPr defaultRowHeight="15" x14ac:dyDescent="0.25"/>
  <cols>
    <col min="1" max="1" width="7.140625" style="17" customWidth="1"/>
    <col min="2" max="2" width="3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114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19" t="s">
        <v>10</v>
      </c>
      <c r="G7" s="19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21" t="s">
        <v>115</v>
      </c>
      <c r="C9" s="22" t="s">
        <v>46</v>
      </c>
      <c r="D9" s="21">
        <f>F9/12</f>
        <v>138071.74583333332</v>
      </c>
      <c r="E9" s="21">
        <f>F9+G9</f>
        <v>1749619.01</v>
      </c>
      <c r="F9" s="21">
        <v>1656860.95</v>
      </c>
      <c r="G9" s="21">
        <v>92758.06</v>
      </c>
      <c r="H9" s="23">
        <f>D9/D14%/100</f>
        <v>4.2471372546184831</v>
      </c>
      <c r="I9" s="18"/>
      <c r="J9" s="18"/>
    </row>
    <row r="10" spans="1:10" ht="45" x14ac:dyDescent="0.25">
      <c r="A10" s="20">
        <v>2</v>
      </c>
      <c r="B10" s="21" t="s">
        <v>116</v>
      </c>
      <c r="C10" s="55" t="s">
        <v>50</v>
      </c>
      <c r="D10" s="21">
        <f t="shared" ref="D10:D14" si="0">F10/12</f>
        <v>57030.644999999997</v>
      </c>
      <c r="E10" s="21">
        <f t="shared" ref="E10:E14" si="1">F10+G10</f>
        <v>772450.29</v>
      </c>
      <c r="F10" s="21">
        <v>684367.74</v>
      </c>
      <c r="G10" s="21">
        <v>88082.55</v>
      </c>
      <c r="H10" s="23">
        <f>D10/D14%/100</f>
        <v>1.7542834384581614</v>
      </c>
      <c r="I10" s="18"/>
      <c r="J10" s="18"/>
    </row>
    <row r="11" spans="1:10" ht="30" x14ac:dyDescent="0.25">
      <c r="A11" s="20">
        <v>3</v>
      </c>
      <c r="B11" s="21" t="s">
        <v>117</v>
      </c>
      <c r="C11" s="55" t="s">
        <v>118</v>
      </c>
      <c r="D11" s="21">
        <f t="shared" si="0"/>
        <v>75550.796666666676</v>
      </c>
      <c r="E11" s="21">
        <f t="shared" si="1"/>
        <v>976593.77</v>
      </c>
      <c r="F11" s="21">
        <v>906609.56</v>
      </c>
      <c r="G11" s="21">
        <v>69984.210000000006</v>
      </c>
      <c r="H11" s="23">
        <f>D11/D14%/100</f>
        <v>2.3239700577584812</v>
      </c>
      <c r="I11" s="18"/>
      <c r="J11" s="18"/>
    </row>
    <row r="12" spans="1:10" x14ac:dyDescent="0.25">
      <c r="A12" s="20">
        <v>4</v>
      </c>
      <c r="B12" s="21" t="s">
        <v>119</v>
      </c>
      <c r="C12" s="55" t="s">
        <v>120</v>
      </c>
      <c r="D12" s="21">
        <f t="shared" si="0"/>
        <v>74721.635833333334</v>
      </c>
      <c r="E12" s="21">
        <f t="shared" si="1"/>
        <v>1010196.01</v>
      </c>
      <c r="F12" s="21">
        <v>896659.63</v>
      </c>
      <c r="G12" s="21">
        <v>113536.38</v>
      </c>
      <c r="H12" s="23">
        <f>D12/D14%/100</f>
        <v>2.2984647681420851</v>
      </c>
      <c r="I12" s="18"/>
      <c r="J12" s="18"/>
    </row>
    <row r="13" spans="1:10" ht="30" x14ac:dyDescent="0.25">
      <c r="A13" s="20">
        <v>5</v>
      </c>
      <c r="B13" s="21" t="s">
        <v>121</v>
      </c>
      <c r="C13" s="22" t="s">
        <v>17</v>
      </c>
      <c r="D13" s="21">
        <f t="shared" si="0"/>
        <v>66741.830833333326</v>
      </c>
      <c r="E13" s="21">
        <f t="shared" si="1"/>
        <v>878879.57</v>
      </c>
      <c r="F13" s="21">
        <v>800901.97</v>
      </c>
      <c r="G13" s="21">
        <v>77977.600000000006</v>
      </c>
      <c r="H13" s="23">
        <f>D13/D14%/100</f>
        <v>2.0530030562216668</v>
      </c>
      <c r="I13" s="18"/>
      <c r="J13" s="18"/>
    </row>
    <row r="14" spans="1:10" x14ac:dyDescent="0.25">
      <c r="A14" s="22"/>
      <c r="B14" s="106" t="s">
        <v>18</v>
      </c>
      <c r="C14" s="107"/>
      <c r="D14" s="21">
        <f t="shared" si="0"/>
        <v>32509.367499999997</v>
      </c>
      <c r="E14" s="21">
        <f t="shared" si="1"/>
        <v>418574.94999999995</v>
      </c>
      <c r="F14" s="21">
        <v>390112.41</v>
      </c>
      <c r="G14" s="21">
        <v>28462.54</v>
      </c>
      <c r="H14" s="23"/>
      <c r="I14" s="18"/>
      <c r="J14" s="18"/>
    </row>
    <row r="15" spans="1:10" x14ac:dyDescent="0.25">
      <c r="A15" s="18"/>
      <c r="B15" s="18"/>
      <c r="C15" s="18"/>
      <c r="D15" s="18"/>
      <c r="E15" s="24"/>
      <c r="F15" s="24"/>
      <c r="G15" s="24"/>
      <c r="H15" s="18"/>
      <c r="I15" s="18"/>
      <c r="J15" s="18"/>
    </row>
    <row r="16" spans="1:10" x14ac:dyDescent="0.25">
      <c r="A16" s="108" t="s">
        <v>19</v>
      </c>
      <c r="B16" s="108"/>
      <c r="C16" s="108"/>
      <c r="D16" s="108"/>
      <c r="E16" s="108"/>
      <c r="F16" s="108"/>
      <c r="G16" s="108"/>
      <c r="H16" s="108"/>
      <c r="I16" s="108"/>
      <c r="J16" s="108"/>
    </row>
    <row r="17" spans="1:1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18"/>
      <c r="B20" s="18" t="s">
        <v>20</v>
      </c>
      <c r="C20" s="25"/>
      <c r="D20" s="26"/>
      <c r="E20" s="27" t="s">
        <v>122</v>
      </c>
      <c r="F20" s="25"/>
      <c r="G20" s="18"/>
      <c r="H20" s="18"/>
      <c r="I20" s="18"/>
      <c r="J20" s="18"/>
    </row>
    <row r="21" spans="1:10" x14ac:dyDescent="0.25">
      <c r="A21" s="18"/>
      <c r="B21" s="18"/>
      <c r="C21" s="28" t="s">
        <v>22</v>
      </c>
      <c r="D21" s="18"/>
      <c r="E21" s="99" t="s">
        <v>23</v>
      </c>
      <c r="F21" s="99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 t="s">
        <v>17</v>
      </c>
      <c r="C23" s="25"/>
      <c r="D23" s="26"/>
      <c r="E23" s="27" t="s">
        <v>123</v>
      </c>
      <c r="F23" s="25"/>
      <c r="G23" s="18"/>
      <c r="H23" s="18"/>
      <c r="I23" s="18"/>
      <c r="J23" s="18"/>
    </row>
    <row r="24" spans="1:10" x14ac:dyDescent="0.25">
      <c r="A24" s="18"/>
      <c r="B24" s="18"/>
      <c r="C24" s="28" t="s">
        <v>22</v>
      </c>
      <c r="D24" s="18"/>
      <c r="E24" s="99" t="s">
        <v>23</v>
      </c>
      <c r="F24" s="99"/>
      <c r="G24" s="18"/>
      <c r="H24" s="18"/>
      <c r="I24" s="18"/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</sheetData>
  <mergeCells count="14">
    <mergeCell ref="B14:C14"/>
    <mergeCell ref="A16:J16"/>
    <mergeCell ref="E21:F21"/>
    <mergeCell ref="E24:F24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E22" sqref="E22:F22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124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19" t="s">
        <v>10</v>
      </c>
      <c r="G7" s="19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21" t="s">
        <v>125</v>
      </c>
      <c r="C9" s="22" t="s">
        <v>46</v>
      </c>
      <c r="D9" s="21">
        <v>96728.5</v>
      </c>
      <c r="E9" s="21">
        <v>1160742</v>
      </c>
      <c r="F9" s="21">
        <v>1160742</v>
      </c>
      <c r="G9" s="21"/>
      <c r="H9" s="23">
        <v>4.0999999999999996</v>
      </c>
      <c r="I9" s="18"/>
      <c r="J9" s="18"/>
    </row>
    <row r="10" spans="1:10" ht="45" x14ac:dyDescent="0.25">
      <c r="A10" s="20">
        <v>2</v>
      </c>
      <c r="B10" s="21" t="s">
        <v>126</v>
      </c>
      <c r="C10" s="22" t="s">
        <v>127</v>
      </c>
      <c r="D10" s="21">
        <v>96275.23</v>
      </c>
      <c r="E10" s="21">
        <v>1155302.75</v>
      </c>
      <c r="F10" s="21">
        <v>1155302.75</v>
      </c>
      <c r="G10" s="21"/>
      <c r="H10" s="23">
        <v>4.0999999999999996</v>
      </c>
      <c r="I10" s="18"/>
      <c r="J10" s="18"/>
    </row>
    <row r="11" spans="1:10" ht="30" x14ac:dyDescent="0.25">
      <c r="A11" s="20">
        <v>3</v>
      </c>
      <c r="B11" s="21" t="s">
        <v>128</v>
      </c>
      <c r="C11" s="22" t="s">
        <v>129</v>
      </c>
      <c r="D11" s="21">
        <v>99238.57</v>
      </c>
      <c r="E11" s="21">
        <v>1190862.8700000001</v>
      </c>
      <c r="F11" s="21">
        <v>1190862.8700000001</v>
      </c>
      <c r="G11" s="21"/>
      <c r="H11" s="23">
        <v>4.2</v>
      </c>
      <c r="I11" s="18"/>
      <c r="J11" s="18"/>
    </row>
    <row r="12" spans="1:10" ht="30" x14ac:dyDescent="0.25">
      <c r="A12" s="20">
        <v>4</v>
      </c>
      <c r="B12" s="21" t="s">
        <v>130</v>
      </c>
      <c r="C12" s="22" t="s">
        <v>61</v>
      </c>
      <c r="D12" s="21">
        <v>76938.289999999994</v>
      </c>
      <c r="E12" s="21">
        <v>923259.48</v>
      </c>
      <c r="F12" s="21">
        <v>923259.48</v>
      </c>
      <c r="G12" s="21"/>
      <c r="H12" s="23">
        <v>3.3</v>
      </c>
      <c r="I12" s="18"/>
      <c r="J12" s="18"/>
    </row>
    <row r="13" spans="1:10" ht="30" x14ac:dyDescent="0.25">
      <c r="A13" s="20">
        <v>5</v>
      </c>
      <c r="B13" s="21" t="s">
        <v>131</v>
      </c>
      <c r="C13" s="22" t="s">
        <v>132</v>
      </c>
      <c r="D13" s="21">
        <v>81489.240000000005</v>
      </c>
      <c r="E13" s="21">
        <v>977870.87</v>
      </c>
      <c r="F13" s="21">
        <v>977870.87</v>
      </c>
      <c r="G13" s="21"/>
      <c r="H13" s="23">
        <v>3.4</v>
      </c>
      <c r="I13" s="18"/>
      <c r="J13" s="18"/>
    </row>
    <row r="14" spans="1:10" x14ac:dyDescent="0.25">
      <c r="A14" s="20">
        <v>6</v>
      </c>
      <c r="B14" s="21" t="s">
        <v>133</v>
      </c>
      <c r="C14" s="22" t="s">
        <v>17</v>
      </c>
      <c r="D14" s="21">
        <v>80147.600000000006</v>
      </c>
      <c r="E14" s="21">
        <v>961771.48</v>
      </c>
      <c r="F14" s="21">
        <v>961771.48</v>
      </c>
      <c r="G14" s="21"/>
      <c r="H14" s="23">
        <v>3.4</v>
      </c>
      <c r="I14" s="18"/>
      <c r="J14" s="18"/>
    </row>
    <row r="15" spans="1:10" x14ac:dyDescent="0.25">
      <c r="A15" s="22"/>
      <c r="B15" s="106" t="s">
        <v>18</v>
      </c>
      <c r="C15" s="107"/>
      <c r="D15" s="21">
        <v>23622.15</v>
      </c>
      <c r="E15" s="21">
        <v>224120801</v>
      </c>
      <c r="F15" s="21">
        <v>224120801</v>
      </c>
      <c r="G15" s="21"/>
      <c r="H15" s="20"/>
      <c r="I15" s="18"/>
      <c r="J15" s="18"/>
    </row>
    <row r="16" spans="1:10" x14ac:dyDescent="0.25">
      <c r="A16" s="18"/>
      <c r="B16" s="18"/>
      <c r="C16" s="18"/>
      <c r="D16" s="18"/>
      <c r="E16" s="24"/>
      <c r="F16" s="24"/>
      <c r="G16" s="24"/>
      <c r="H16" s="18"/>
      <c r="I16" s="18"/>
      <c r="J16" s="18"/>
    </row>
    <row r="17" spans="1:10" x14ac:dyDescent="0.25">
      <c r="A17" s="108" t="s">
        <v>19</v>
      </c>
      <c r="B17" s="108"/>
      <c r="C17" s="108"/>
      <c r="D17" s="108"/>
      <c r="E17" s="108"/>
      <c r="F17" s="108"/>
      <c r="G17" s="108"/>
      <c r="H17" s="108"/>
      <c r="I17" s="108"/>
      <c r="J17" s="10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 t="s">
        <v>20</v>
      </c>
      <c r="C21" s="25"/>
      <c r="D21" s="18"/>
      <c r="E21" s="27" t="s">
        <v>134</v>
      </c>
      <c r="F21" s="25"/>
      <c r="G21" s="18"/>
      <c r="H21" s="18"/>
      <c r="I21" s="18"/>
      <c r="J21" s="18"/>
    </row>
    <row r="22" spans="1:10" x14ac:dyDescent="0.25">
      <c r="A22" s="18"/>
      <c r="B22" s="18"/>
      <c r="C22" s="28" t="s">
        <v>22</v>
      </c>
      <c r="D22" s="18"/>
      <c r="E22" s="99" t="s">
        <v>23</v>
      </c>
      <c r="F22" s="99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8"/>
      <c r="B24" s="18" t="s">
        <v>17</v>
      </c>
      <c r="C24" s="25"/>
      <c r="D24" s="18"/>
      <c r="E24" s="27" t="s">
        <v>135</v>
      </c>
      <c r="F24" s="25"/>
      <c r="G24" s="18"/>
      <c r="H24" s="18"/>
      <c r="I24" s="18"/>
      <c r="J24" s="18"/>
    </row>
    <row r="25" spans="1:10" x14ac:dyDescent="0.25">
      <c r="A25" s="18"/>
      <c r="B25" s="18"/>
      <c r="C25" s="28" t="s">
        <v>22</v>
      </c>
      <c r="D25" s="18"/>
      <c r="E25" s="99" t="s">
        <v>23</v>
      </c>
      <c r="F25" s="99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</sheetData>
  <mergeCells count="14">
    <mergeCell ref="B15:C15"/>
    <mergeCell ref="A17:J17"/>
    <mergeCell ref="E22:F22"/>
    <mergeCell ref="E25:F25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G9" sqref="G9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136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19" t="s">
        <v>10</v>
      </c>
      <c r="G7" s="19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ht="30" x14ac:dyDescent="0.25">
      <c r="A9" s="20">
        <v>1</v>
      </c>
      <c r="B9" s="21" t="s">
        <v>137</v>
      </c>
      <c r="C9" s="22" t="s">
        <v>46</v>
      </c>
      <c r="D9" s="56">
        <f>F9/12</f>
        <v>93440.871666666659</v>
      </c>
      <c r="E9" s="56">
        <v>1504285.34</v>
      </c>
      <c r="F9" s="56">
        <f>E9-G9</f>
        <v>1121290.46</v>
      </c>
      <c r="G9" s="56">
        <v>382994.88</v>
      </c>
      <c r="H9" s="57">
        <f>D9/D14</f>
        <v>2.7057811377378083</v>
      </c>
      <c r="I9" s="18"/>
      <c r="J9" s="18"/>
    </row>
    <row r="10" spans="1:10" ht="30" x14ac:dyDescent="0.25">
      <c r="A10" s="20">
        <v>2</v>
      </c>
      <c r="B10" s="21" t="s">
        <v>138</v>
      </c>
      <c r="C10" s="22" t="s">
        <v>71</v>
      </c>
      <c r="D10" s="56">
        <f t="shared" ref="D10:D13" si="0">F10/12</f>
        <v>110685.31583333334</v>
      </c>
      <c r="E10" s="56">
        <v>1692229.47</v>
      </c>
      <c r="F10" s="56">
        <f t="shared" ref="F10:F14" si="1">E10-G10</f>
        <v>1328223.79</v>
      </c>
      <c r="G10" s="56">
        <v>364005.68</v>
      </c>
      <c r="H10" s="57">
        <f>D10/D14</f>
        <v>3.2051310573681548</v>
      </c>
      <c r="I10" s="18"/>
      <c r="J10" s="18"/>
    </row>
    <row r="11" spans="1:10" ht="45" x14ac:dyDescent="0.25">
      <c r="A11" s="20">
        <v>3</v>
      </c>
      <c r="B11" s="21" t="s">
        <v>139</v>
      </c>
      <c r="C11" s="22" t="s">
        <v>72</v>
      </c>
      <c r="D11" s="56">
        <f t="shared" si="0"/>
        <v>71746.133333333346</v>
      </c>
      <c r="E11" s="56">
        <v>862600.79</v>
      </c>
      <c r="F11" s="56">
        <f t="shared" si="1"/>
        <v>860953.60000000009</v>
      </c>
      <c r="G11" s="56">
        <v>1647.19</v>
      </c>
      <c r="H11" s="57">
        <f>D11/D14</f>
        <v>2.0775633918685643</v>
      </c>
      <c r="I11" s="18"/>
      <c r="J11" s="18"/>
    </row>
    <row r="12" spans="1:10" x14ac:dyDescent="0.25">
      <c r="A12" s="20">
        <v>4</v>
      </c>
      <c r="B12" s="21" t="s">
        <v>140</v>
      </c>
      <c r="C12" s="22" t="s">
        <v>141</v>
      </c>
      <c r="D12" s="56">
        <f t="shared" si="0"/>
        <v>48152.192500000005</v>
      </c>
      <c r="E12" s="56">
        <v>577826.31000000006</v>
      </c>
      <c r="F12" s="56">
        <f t="shared" si="1"/>
        <v>577826.31000000006</v>
      </c>
      <c r="G12" s="56">
        <v>0</v>
      </c>
      <c r="H12" s="57">
        <f>D12/D14</f>
        <v>1.3943501583761266</v>
      </c>
      <c r="I12" s="18"/>
      <c r="J12" s="18"/>
    </row>
    <row r="13" spans="1:10" ht="30" x14ac:dyDescent="0.25">
      <c r="A13" s="20">
        <v>5</v>
      </c>
      <c r="B13" s="21" t="s">
        <v>142</v>
      </c>
      <c r="C13" s="22" t="s">
        <v>17</v>
      </c>
      <c r="D13" s="56">
        <f t="shared" si="0"/>
        <v>78436.250833333339</v>
      </c>
      <c r="E13" s="56">
        <v>1436943.43</v>
      </c>
      <c r="F13" s="56">
        <f t="shared" si="1"/>
        <v>941235.01</v>
      </c>
      <c r="G13" s="56">
        <v>495708.42</v>
      </c>
      <c r="H13" s="57">
        <f>D13/D14</f>
        <v>2.2712901135683059</v>
      </c>
      <c r="I13" s="18"/>
      <c r="J13" s="18"/>
    </row>
    <row r="14" spans="1:10" x14ac:dyDescent="0.25">
      <c r="A14" s="22"/>
      <c r="B14" s="106" t="s">
        <v>18</v>
      </c>
      <c r="C14" s="107"/>
      <c r="D14" s="54">
        <f>F14/349.9/12</f>
        <v>34533.787808421454</v>
      </c>
      <c r="E14" s="54">
        <v>146796100</v>
      </c>
      <c r="F14" s="54">
        <f t="shared" si="1"/>
        <v>145000468.25</v>
      </c>
      <c r="G14" s="54">
        <v>1795631.75</v>
      </c>
      <c r="H14" s="20"/>
      <c r="I14" s="18"/>
      <c r="J14" s="18"/>
    </row>
    <row r="15" spans="1:10" x14ac:dyDescent="0.25">
      <c r="A15" s="18"/>
      <c r="B15" s="18"/>
      <c r="C15" s="18"/>
      <c r="D15" s="18"/>
      <c r="E15" s="24"/>
      <c r="F15" s="24"/>
      <c r="G15" s="24"/>
      <c r="H15" s="18"/>
      <c r="I15" s="18"/>
      <c r="J15" s="18"/>
    </row>
    <row r="16" spans="1:10" x14ac:dyDescent="0.25">
      <c r="A16" s="108" t="s">
        <v>19</v>
      </c>
      <c r="B16" s="108"/>
      <c r="C16" s="108"/>
      <c r="D16" s="108"/>
      <c r="E16" s="108"/>
      <c r="F16" s="108"/>
      <c r="G16" s="108"/>
      <c r="H16" s="108"/>
      <c r="I16" s="108"/>
      <c r="J16" s="108"/>
    </row>
    <row r="17" spans="1:1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18"/>
      <c r="B20" s="18" t="s">
        <v>143</v>
      </c>
      <c r="C20" s="25"/>
      <c r="D20" s="26"/>
      <c r="E20" s="101" t="s">
        <v>144</v>
      </c>
      <c r="F20" s="101"/>
      <c r="G20" s="18"/>
      <c r="H20" s="18"/>
      <c r="I20" s="18"/>
      <c r="J20" s="18"/>
    </row>
    <row r="21" spans="1:10" x14ac:dyDescent="0.25">
      <c r="A21" s="18"/>
      <c r="B21" s="18"/>
      <c r="C21" s="28" t="s">
        <v>22</v>
      </c>
      <c r="D21" s="18"/>
      <c r="E21" s="99" t="s">
        <v>23</v>
      </c>
      <c r="F21" s="99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 t="s">
        <v>17</v>
      </c>
      <c r="C23" s="25"/>
      <c r="D23" s="26"/>
      <c r="E23" s="101" t="s">
        <v>145</v>
      </c>
      <c r="F23" s="101"/>
      <c r="G23" s="18"/>
      <c r="H23" s="18"/>
      <c r="I23" s="18"/>
      <c r="J23" s="18"/>
    </row>
    <row r="24" spans="1:10" x14ac:dyDescent="0.25">
      <c r="A24" s="18"/>
      <c r="B24" s="18"/>
      <c r="C24" s="28" t="s">
        <v>22</v>
      </c>
      <c r="D24" s="18"/>
      <c r="E24" s="99" t="s">
        <v>23</v>
      </c>
      <c r="F24" s="99"/>
      <c r="G24" s="18"/>
      <c r="H24" s="18"/>
      <c r="I24" s="18"/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</sheetData>
  <mergeCells count="16">
    <mergeCell ref="E24:F24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4:C14"/>
    <mergeCell ref="A16:J16"/>
    <mergeCell ref="E20:F20"/>
    <mergeCell ref="E21:F21"/>
    <mergeCell ref="E23:F2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B11" sqref="B11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0" width="9.140625" style="17"/>
    <col min="11" max="11" width="12.42578125" style="17" bestFit="1" customWidth="1"/>
    <col min="12" max="12" width="9.140625" style="17"/>
    <col min="13" max="13" width="10.5703125" style="17" bestFit="1" customWidth="1"/>
    <col min="14" max="257" width="9.140625" style="17"/>
    <col min="258" max="258" width="33.5703125" style="17" customWidth="1"/>
    <col min="259" max="259" width="30.28515625" style="17" customWidth="1"/>
    <col min="260" max="260" width="23.42578125" style="17" customWidth="1"/>
    <col min="261" max="261" width="31.28515625" style="17" customWidth="1"/>
    <col min="262" max="262" width="25.28515625" style="17" customWidth="1"/>
    <col min="263" max="263" width="22.5703125" style="17" customWidth="1"/>
    <col min="264" max="264" width="30.5703125" style="17" customWidth="1"/>
    <col min="265" max="266" width="9.140625" style="17"/>
    <col min="267" max="267" width="12.42578125" style="17" bestFit="1" customWidth="1"/>
    <col min="268" max="268" width="9.140625" style="17"/>
    <col min="269" max="269" width="10.5703125" style="17" bestFit="1" customWidth="1"/>
    <col min="270" max="513" width="9.140625" style="17"/>
    <col min="514" max="514" width="33.5703125" style="17" customWidth="1"/>
    <col min="515" max="515" width="30.28515625" style="17" customWidth="1"/>
    <col min="516" max="516" width="23.42578125" style="17" customWidth="1"/>
    <col min="517" max="517" width="31.28515625" style="17" customWidth="1"/>
    <col min="518" max="518" width="25.28515625" style="17" customWidth="1"/>
    <col min="519" max="519" width="22.5703125" style="17" customWidth="1"/>
    <col min="520" max="520" width="30.5703125" style="17" customWidth="1"/>
    <col min="521" max="522" width="9.140625" style="17"/>
    <col min="523" max="523" width="12.42578125" style="17" bestFit="1" customWidth="1"/>
    <col min="524" max="524" width="9.140625" style="17"/>
    <col min="525" max="525" width="10.5703125" style="17" bestFit="1" customWidth="1"/>
    <col min="526" max="769" width="9.140625" style="17"/>
    <col min="770" max="770" width="33.5703125" style="17" customWidth="1"/>
    <col min="771" max="771" width="30.28515625" style="17" customWidth="1"/>
    <col min="772" max="772" width="23.42578125" style="17" customWidth="1"/>
    <col min="773" max="773" width="31.28515625" style="17" customWidth="1"/>
    <col min="774" max="774" width="25.28515625" style="17" customWidth="1"/>
    <col min="775" max="775" width="22.5703125" style="17" customWidth="1"/>
    <col min="776" max="776" width="30.5703125" style="17" customWidth="1"/>
    <col min="777" max="778" width="9.140625" style="17"/>
    <col min="779" max="779" width="12.42578125" style="17" bestFit="1" customWidth="1"/>
    <col min="780" max="780" width="9.140625" style="17"/>
    <col min="781" max="781" width="10.5703125" style="17" bestFit="1" customWidth="1"/>
    <col min="782" max="1025" width="9.140625" style="17"/>
    <col min="1026" max="1026" width="33.5703125" style="17" customWidth="1"/>
    <col min="1027" max="1027" width="30.28515625" style="17" customWidth="1"/>
    <col min="1028" max="1028" width="23.42578125" style="17" customWidth="1"/>
    <col min="1029" max="1029" width="31.28515625" style="17" customWidth="1"/>
    <col min="1030" max="1030" width="25.28515625" style="17" customWidth="1"/>
    <col min="1031" max="1031" width="22.5703125" style="17" customWidth="1"/>
    <col min="1032" max="1032" width="30.5703125" style="17" customWidth="1"/>
    <col min="1033" max="1034" width="9.140625" style="17"/>
    <col min="1035" max="1035" width="12.42578125" style="17" bestFit="1" customWidth="1"/>
    <col min="1036" max="1036" width="9.140625" style="17"/>
    <col min="1037" max="1037" width="10.5703125" style="17" bestFit="1" customWidth="1"/>
    <col min="1038" max="1281" width="9.140625" style="17"/>
    <col min="1282" max="1282" width="33.5703125" style="17" customWidth="1"/>
    <col min="1283" max="1283" width="30.28515625" style="17" customWidth="1"/>
    <col min="1284" max="1284" width="23.42578125" style="17" customWidth="1"/>
    <col min="1285" max="1285" width="31.28515625" style="17" customWidth="1"/>
    <col min="1286" max="1286" width="25.28515625" style="17" customWidth="1"/>
    <col min="1287" max="1287" width="22.5703125" style="17" customWidth="1"/>
    <col min="1288" max="1288" width="30.5703125" style="17" customWidth="1"/>
    <col min="1289" max="1290" width="9.140625" style="17"/>
    <col min="1291" max="1291" width="12.42578125" style="17" bestFit="1" customWidth="1"/>
    <col min="1292" max="1292" width="9.140625" style="17"/>
    <col min="1293" max="1293" width="10.5703125" style="17" bestFit="1" customWidth="1"/>
    <col min="1294" max="1537" width="9.140625" style="17"/>
    <col min="1538" max="1538" width="33.5703125" style="17" customWidth="1"/>
    <col min="1539" max="1539" width="30.28515625" style="17" customWidth="1"/>
    <col min="1540" max="1540" width="23.42578125" style="17" customWidth="1"/>
    <col min="1541" max="1541" width="31.28515625" style="17" customWidth="1"/>
    <col min="1542" max="1542" width="25.28515625" style="17" customWidth="1"/>
    <col min="1543" max="1543" width="22.5703125" style="17" customWidth="1"/>
    <col min="1544" max="1544" width="30.5703125" style="17" customWidth="1"/>
    <col min="1545" max="1546" width="9.140625" style="17"/>
    <col min="1547" max="1547" width="12.42578125" style="17" bestFit="1" customWidth="1"/>
    <col min="1548" max="1548" width="9.140625" style="17"/>
    <col min="1549" max="1549" width="10.5703125" style="17" bestFit="1" customWidth="1"/>
    <col min="1550" max="1793" width="9.140625" style="17"/>
    <col min="1794" max="1794" width="33.5703125" style="17" customWidth="1"/>
    <col min="1795" max="1795" width="30.28515625" style="17" customWidth="1"/>
    <col min="1796" max="1796" width="23.42578125" style="17" customWidth="1"/>
    <col min="1797" max="1797" width="31.28515625" style="17" customWidth="1"/>
    <col min="1798" max="1798" width="25.28515625" style="17" customWidth="1"/>
    <col min="1799" max="1799" width="22.5703125" style="17" customWidth="1"/>
    <col min="1800" max="1800" width="30.5703125" style="17" customWidth="1"/>
    <col min="1801" max="1802" width="9.140625" style="17"/>
    <col min="1803" max="1803" width="12.42578125" style="17" bestFit="1" customWidth="1"/>
    <col min="1804" max="1804" width="9.140625" style="17"/>
    <col min="1805" max="1805" width="10.5703125" style="17" bestFit="1" customWidth="1"/>
    <col min="1806" max="2049" width="9.140625" style="17"/>
    <col min="2050" max="2050" width="33.5703125" style="17" customWidth="1"/>
    <col min="2051" max="2051" width="30.28515625" style="17" customWidth="1"/>
    <col min="2052" max="2052" width="23.42578125" style="17" customWidth="1"/>
    <col min="2053" max="2053" width="31.28515625" style="17" customWidth="1"/>
    <col min="2054" max="2054" width="25.28515625" style="17" customWidth="1"/>
    <col min="2055" max="2055" width="22.5703125" style="17" customWidth="1"/>
    <col min="2056" max="2056" width="30.5703125" style="17" customWidth="1"/>
    <col min="2057" max="2058" width="9.140625" style="17"/>
    <col min="2059" max="2059" width="12.42578125" style="17" bestFit="1" customWidth="1"/>
    <col min="2060" max="2060" width="9.140625" style="17"/>
    <col min="2061" max="2061" width="10.5703125" style="17" bestFit="1" customWidth="1"/>
    <col min="2062" max="2305" width="9.140625" style="17"/>
    <col min="2306" max="2306" width="33.5703125" style="17" customWidth="1"/>
    <col min="2307" max="2307" width="30.28515625" style="17" customWidth="1"/>
    <col min="2308" max="2308" width="23.42578125" style="17" customWidth="1"/>
    <col min="2309" max="2309" width="31.28515625" style="17" customWidth="1"/>
    <col min="2310" max="2310" width="25.28515625" style="17" customWidth="1"/>
    <col min="2311" max="2311" width="22.5703125" style="17" customWidth="1"/>
    <col min="2312" max="2312" width="30.5703125" style="17" customWidth="1"/>
    <col min="2313" max="2314" width="9.140625" style="17"/>
    <col min="2315" max="2315" width="12.42578125" style="17" bestFit="1" customWidth="1"/>
    <col min="2316" max="2316" width="9.140625" style="17"/>
    <col min="2317" max="2317" width="10.5703125" style="17" bestFit="1" customWidth="1"/>
    <col min="2318" max="2561" width="9.140625" style="17"/>
    <col min="2562" max="2562" width="33.5703125" style="17" customWidth="1"/>
    <col min="2563" max="2563" width="30.28515625" style="17" customWidth="1"/>
    <col min="2564" max="2564" width="23.42578125" style="17" customWidth="1"/>
    <col min="2565" max="2565" width="31.28515625" style="17" customWidth="1"/>
    <col min="2566" max="2566" width="25.28515625" style="17" customWidth="1"/>
    <col min="2567" max="2567" width="22.5703125" style="17" customWidth="1"/>
    <col min="2568" max="2568" width="30.5703125" style="17" customWidth="1"/>
    <col min="2569" max="2570" width="9.140625" style="17"/>
    <col min="2571" max="2571" width="12.42578125" style="17" bestFit="1" customWidth="1"/>
    <col min="2572" max="2572" width="9.140625" style="17"/>
    <col min="2573" max="2573" width="10.5703125" style="17" bestFit="1" customWidth="1"/>
    <col min="2574" max="2817" width="9.140625" style="17"/>
    <col min="2818" max="2818" width="33.5703125" style="17" customWidth="1"/>
    <col min="2819" max="2819" width="30.28515625" style="17" customWidth="1"/>
    <col min="2820" max="2820" width="23.42578125" style="17" customWidth="1"/>
    <col min="2821" max="2821" width="31.28515625" style="17" customWidth="1"/>
    <col min="2822" max="2822" width="25.28515625" style="17" customWidth="1"/>
    <col min="2823" max="2823" width="22.5703125" style="17" customWidth="1"/>
    <col min="2824" max="2824" width="30.5703125" style="17" customWidth="1"/>
    <col min="2825" max="2826" width="9.140625" style="17"/>
    <col min="2827" max="2827" width="12.42578125" style="17" bestFit="1" customWidth="1"/>
    <col min="2828" max="2828" width="9.140625" style="17"/>
    <col min="2829" max="2829" width="10.5703125" style="17" bestFit="1" customWidth="1"/>
    <col min="2830" max="3073" width="9.140625" style="17"/>
    <col min="3074" max="3074" width="33.5703125" style="17" customWidth="1"/>
    <col min="3075" max="3075" width="30.28515625" style="17" customWidth="1"/>
    <col min="3076" max="3076" width="23.42578125" style="17" customWidth="1"/>
    <col min="3077" max="3077" width="31.28515625" style="17" customWidth="1"/>
    <col min="3078" max="3078" width="25.28515625" style="17" customWidth="1"/>
    <col min="3079" max="3079" width="22.5703125" style="17" customWidth="1"/>
    <col min="3080" max="3080" width="30.5703125" style="17" customWidth="1"/>
    <col min="3081" max="3082" width="9.140625" style="17"/>
    <col min="3083" max="3083" width="12.42578125" style="17" bestFit="1" customWidth="1"/>
    <col min="3084" max="3084" width="9.140625" style="17"/>
    <col min="3085" max="3085" width="10.5703125" style="17" bestFit="1" customWidth="1"/>
    <col min="3086" max="3329" width="9.140625" style="17"/>
    <col min="3330" max="3330" width="33.5703125" style="17" customWidth="1"/>
    <col min="3331" max="3331" width="30.28515625" style="17" customWidth="1"/>
    <col min="3332" max="3332" width="23.42578125" style="17" customWidth="1"/>
    <col min="3333" max="3333" width="31.28515625" style="17" customWidth="1"/>
    <col min="3334" max="3334" width="25.28515625" style="17" customWidth="1"/>
    <col min="3335" max="3335" width="22.5703125" style="17" customWidth="1"/>
    <col min="3336" max="3336" width="30.5703125" style="17" customWidth="1"/>
    <col min="3337" max="3338" width="9.140625" style="17"/>
    <col min="3339" max="3339" width="12.42578125" style="17" bestFit="1" customWidth="1"/>
    <col min="3340" max="3340" width="9.140625" style="17"/>
    <col min="3341" max="3341" width="10.5703125" style="17" bestFit="1" customWidth="1"/>
    <col min="3342" max="3585" width="9.140625" style="17"/>
    <col min="3586" max="3586" width="33.5703125" style="17" customWidth="1"/>
    <col min="3587" max="3587" width="30.28515625" style="17" customWidth="1"/>
    <col min="3588" max="3588" width="23.42578125" style="17" customWidth="1"/>
    <col min="3589" max="3589" width="31.28515625" style="17" customWidth="1"/>
    <col min="3590" max="3590" width="25.28515625" style="17" customWidth="1"/>
    <col min="3591" max="3591" width="22.5703125" style="17" customWidth="1"/>
    <col min="3592" max="3592" width="30.5703125" style="17" customWidth="1"/>
    <col min="3593" max="3594" width="9.140625" style="17"/>
    <col min="3595" max="3595" width="12.42578125" style="17" bestFit="1" customWidth="1"/>
    <col min="3596" max="3596" width="9.140625" style="17"/>
    <col min="3597" max="3597" width="10.5703125" style="17" bestFit="1" customWidth="1"/>
    <col min="3598" max="3841" width="9.140625" style="17"/>
    <col min="3842" max="3842" width="33.5703125" style="17" customWidth="1"/>
    <col min="3843" max="3843" width="30.28515625" style="17" customWidth="1"/>
    <col min="3844" max="3844" width="23.42578125" style="17" customWidth="1"/>
    <col min="3845" max="3845" width="31.28515625" style="17" customWidth="1"/>
    <col min="3846" max="3846" width="25.28515625" style="17" customWidth="1"/>
    <col min="3847" max="3847" width="22.5703125" style="17" customWidth="1"/>
    <col min="3848" max="3848" width="30.5703125" style="17" customWidth="1"/>
    <col min="3849" max="3850" width="9.140625" style="17"/>
    <col min="3851" max="3851" width="12.42578125" style="17" bestFit="1" customWidth="1"/>
    <col min="3852" max="3852" width="9.140625" style="17"/>
    <col min="3853" max="3853" width="10.5703125" style="17" bestFit="1" customWidth="1"/>
    <col min="3854" max="4097" width="9.140625" style="17"/>
    <col min="4098" max="4098" width="33.5703125" style="17" customWidth="1"/>
    <col min="4099" max="4099" width="30.28515625" style="17" customWidth="1"/>
    <col min="4100" max="4100" width="23.42578125" style="17" customWidth="1"/>
    <col min="4101" max="4101" width="31.28515625" style="17" customWidth="1"/>
    <col min="4102" max="4102" width="25.28515625" style="17" customWidth="1"/>
    <col min="4103" max="4103" width="22.5703125" style="17" customWidth="1"/>
    <col min="4104" max="4104" width="30.5703125" style="17" customWidth="1"/>
    <col min="4105" max="4106" width="9.140625" style="17"/>
    <col min="4107" max="4107" width="12.42578125" style="17" bestFit="1" customWidth="1"/>
    <col min="4108" max="4108" width="9.140625" style="17"/>
    <col min="4109" max="4109" width="10.5703125" style="17" bestFit="1" customWidth="1"/>
    <col min="4110" max="4353" width="9.140625" style="17"/>
    <col min="4354" max="4354" width="33.5703125" style="17" customWidth="1"/>
    <col min="4355" max="4355" width="30.28515625" style="17" customWidth="1"/>
    <col min="4356" max="4356" width="23.42578125" style="17" customWidth="1"/>
    <col min="4357" max="4357" width="31.28515625" style="17" customWidth="1"/>
    <col min="4358" max="4358" width="25.28515625" style="17" customWidth="1"/>
    <col min="4359" max="4359" width="22.5703125" style="17" customWidth="1"/>
    <col min="4360" max="4360" width="30.5703125" style="17" customWidth="1"/>
    <col min="4361" max="4362" width="9.140625" style="17"/>
    <col min="4363" max="4363" width="12.42578125" style="17" bestFit="1" customWidth="1"/>
    <col min="4364" max="4364" width="9.140625" style="17"/>
    <col min="4365" max="4365" width="10.5703125" style="17" bestFit="1" customWidth="1"/>
    <col min="4366" max="4609" width="9.140625" style="17"/>
    <col min="4610" max="4610" width="33.5703125" style="17" customWidth="1"/>
    <col min="4611" max="4611" width="30.28515625" style="17" customWidth="1"/>
    <col min="4612" max="4612" width="23.42578125" style="17" customWidth="1"/>
    <col min="4613" max="4613" width="31.28515625" style="17" customWidth="1"/>
    <col min="4614" max="4614" width="25.28515625" style="17" customWidth="1"/>
    <col min="4615" max="4615" width="22.5703125" style="17" customWidth="1"/>
    <col min="4616" max="4616" width="30.5703125" style="17" customWidth="1"/>
    <col min="4617" max="4618" width="9.140625" style="17"/>
    <col min="4619" max="4619" width="12.42578125" style="17" bestFit="1" customWidth="1"/>
    <col min="4620" max="4620" width="9.140625" style="17"/>
    <col min="4621" max="4621" width="10.5703125" style="17" bestFit="1" customWidth="1"/>
    <col min="4622" max="4865" width="9.140625" style="17"/>
    <col min="4866" max="4866" width="33.5703125" style="17" customWidth="1"/>
    <col min="4867" max="4867" width="30.28515625" style="17" customWidth="1"/>
    <col min="4868" max="4868" width="23.42578125" style="17" customWidth="1"/>
    <col min="4869" max="4869" width="31.28515625" style="17" customWidth="1"/>
    <col min="4870" max="4870" width="25.28515625" style="17" customWidth="1"/>
    <col min="4871" max="4871" width="22.5703125" style="17" customWidth="1"/>
    <col min="4872" max="4872" width="30.5703125" style="17" customWidth="1"/>
    <col min="4873" max="4874" width="9.140625" style="17"/>
    <col min="4875" max="4875" width="12.42578125" style="17" bestFit="1" customWidth="1"/>
    <col min="4876" max="4876" width="9.140625" style="17"/>
    <col min="4877" max="4877" width="10.5703125" style="17" bestFit="1" customWidth="1"/>
    <col min="4878" max="5121" width="9.140625" style="17"/>
    <col min="5122" max="5122" width="33.5703125" style="17" customWidth="1"/>
    <col min="5123" max="5123" width="30.28515625" style="17" customWidth="1"/>
    <col min="5124" max="5124" width="23.42578125" style="17" customWidth="1"/>
    <col min="5125" max="5125" width="31.28515625" style="17" customWidth="1"/>
    <col min="5126" max="5126" width="25.28515625" style="17" customWidth="1"/>
    <col min="5127" max="5127" width="22.5703125" style="17" customWidth="1"/>
    <col min="5128" max="5128" width="30.5703125" style="17" customWidth="1"/>
    <col min="5129" max="5130" width="9.140625" style="17"/>
    <col min="5131" max="5131" width="12.42578125" style="17" bestFit="1" customWidth="1"/>
    <col min="5132" max="5132" width="9.140625" style="17"/>
    <col min="5133" max="5133" width="10.5703125" style="17" bestFit="1" customWidth="1"/>
    <col min="5134" max="5377" width="9.140625" style="17"/>
    <col min="5378" max="5378" width="33.5703125" style="17" customWidth="1"/>
    <col min="5379" max="5379" width="30.28515625" style="17" customWidth="1"/>
    <col min="5380" max="5380" width="23.42578125" style="17" customWidth="1"/>
    <col min="5381" max="5381" width="31.28515625" style="17" customWidth="1"/>
    <col min="5382" max="5382" width="25.28515625" style="17" customWidth="1"/>
    <col min="5383" max="5383" width="22.5703125" style="17" customWidth="1"/>
    <col min="5384" max="5384" width="30.5703125" style="17" customWidth="1"/>
    <col min="5385" max="5386" width="9.140625" style="17"/>
    <col min="5387" max="5387" width="12.42578125" style="17" bestFit="1" customWidth="1"/>
    <col min="5388" max="5388" width="9.140625" style="17"/>
    <col min="5389" max="5389" width="10.5703125" style="17" bestFit="1" customWidth="1"/>
    <col min="5390" max="5633" width="9.140625" style="17"/>
    <col min="5634" max="5634" width="33.5703125" style="17" customWidth="1"/>
    <col min="5635" max="5635" width="30.28515625" style="17" customWidth="1"/>
    <col min="5636" max="5636" width="23.42578125" style="17" customWidth="1"/>
    <col min="5637" max="5637" width="31.28515625" style="17" customWidth="1"/>
    <col min="5638" max="5638" width="25.28515625" style="17" customWidth="1"/>
    <col min="5639" max="5639" width="22.5703125" style="17" customWidth="1"/>
    <col min="5640" max="5640" width="30.5703125" style="17" customWidth="1"/>
    <col min="5641" max="5642" width="9.140625" style="17"/>
    <col min="5643" max="5643" width="12.42578125" style="17" bestFit="1" customWidth="1"/>
    <col min="5644" max="5644" width="9.140625" style="17"/>
    <col min="5645" max="5645" width="10.5703125" style="17" bestFit="1" customWidth="1"/>
    <col min="5646" max="5889" width="9.140625" style="17"/>
    <col min="5890" max="5890" width="33.5703125" style="17" customWidth="1"/>
    <col min="5891" max="5891" width="30.28515625" style="17" customWidth="1"/>
    <col min="5892" max="5892" width="23.42578125" style="17" customWidth="1"/>
    <col min="5893" max="5893" width="31.28515625" style="17" customWidth="1"/>
    <col min="5894" max="5894" width="25.28515625" style="17" customWidth="1"/>
    <col min="5895" max="5895" width="22.5703125" style="17" customWidth="1"/>
    <col min="5896" max="5896" width="30.5703125" style="17" customWidth="1"/>
    <col min="5897" max="5898" width="9.140625" style="17"/>
    <col min="5899" max="5899" width="12.42578125" style="17" bestFit="1" customWidth="1"/>
    <col min="5900" max="5900" width="9.140625" style="17"/>
    <col min="5901" max="5901" width="10.5703125" style="17" bestFit="1" customWidth="1"/>
    <col min="5902" max="6145" width="9.140625" style="17"/>
    <col min="6146" max="6146" width="33.5703125" style="17" customWidth="1"/>
    <col min="6147" max="6147" width="30.28515625" style="17" customWidth="1"/>
    <col min="6148" max="6148" width="23.42578125" style="17" customWidth="1"/>
    <col min="6149" max="6149" width="31.28515625" style="17" customWidth="1"/>
    <col min="6150" max="6150" width="25.28515625" style="17" customWidth="1"/>
    <col min="6151" max="6151" width="22.5703125" style="17" customWidth="1"/>
    <col min="6152" max="6152" width="30.5703125" style="17" customWidth="1"/>
    <col min="6153" max="6154" width="9.140625" style="17"/>
    <col min="6155" max="6155" width="12.42578125" style="17" bestFit="1" customWidth="1"/>
    <col min="6156" max="6156" width="9.140625" style="17"/>
    <col min="6157" max="6157" width="10.5703125" style="17" bestFit="1" customWidth="1"/>
    <col min="6158" max="6401" width="9.140625" style="17"/>
    <col min="6402" max="6402" width="33.5703125" style="17" customWidth="1"/>
    <col min="6403" max="6403" width="30.28515625" style="17" customWidth="1"/>
    <col min="6404" max="6404" width="23.42578125" style="17" customWidth="1"/>
    <col min="6405" max="6405" width="31.28515625" style="17" customWidth="1"/>
    <col min="6406" max="6406" width="25.28515625" style="17" customWidth="1"/>
    <col min="6407" max="6407" width="22.5703125" style="17" customWidth="1"/>
    <col min="6408" max="6408" width="30.5703125" style="17" customWidth="1"/>
    <col min="6409" max="6410" width="9.140625" style="17"/>
    <col min="6411" max="6411" width="12.42578125" style="17" bestFit="1" customWidth="1"/>
    <col min="6412" max="6412" width="9.140625" style="17"/>
    <col min="6413" max="6413" width="10.5703125" style="17" bestFit="1" customWidth="1"/>
    <col min="6414" max="6657" width="9.140625" style="17"/>
    <col min="6658" max="6658" width="33.5703125" style="17" customWidth="1"/>
    <col min="6659" max="6659" width="30.28515625" style="17" customWidth="1"/>
    <col min="6660" max="6660" width="23.42578125" style="17" customWidth="1"/>
    <col min="6661" max="6661" width="31.28515625" style="17" customWidth="1"/>
    <col min="6662" max="6662" width="25.28515625" style="17" customWidth="1"/>
    <col min="6663" max="6663" width="22.5703125" style="17" customWidth="1"/>
    <col min="6664" max="6664" width="30.5703125" style="17" customWidth="1"/>
    <col min="6665" max="6666" width="9.140625" style="17"/>
    <col min="6667" max="6667" width="12.42578125" style="17" bestFit="1" customWidth="1"/>
    <col min="6668" max="6668" width="9.140625" style="17"/>
    <col min="6669" max="6669" width="10.5703125" style="17" bestFit="1" customWidth="1"/>
    <col min="6670" max="6913" width="9.140625" style="17"/>
    <col min="6914" max="6914" width="33.5703125" style="17" customWidth="1"/>
    <col min="6915" max="6915" width="30.28515625" style="17" customWidth="1"/>
    <col min="6916" max="6916" width="23.42578125" style="17" customWidth="1"/>
    <col min="6917" max="6917" width="31.28515625" style="17" customWidth="1"/>
    <col min="6918" max="6918" width="25.28515625" style="17" customWidth="1"/>
    <col min="6919" max="6919" width="22.5703125" style="17" customWidth="1"/>
    <col min="6920" max="6920" width="30.5703125" style="17" customWidth="1"/>
    <col min="6921" max="6922" width="9.140625" style="17"/>
    <col min="6923" max="6923" width="12.42578125" style="17" bestFit="1" customWidth="1"/>
    <col min="6924" max="6924" width="9.140625" style="17"/>
    <col min="6925" max="6925" width="10.5703125" style="17" bestFit="1" customWidth="1"/>
    <col min="6926" max="7169" width="9.140625" style="17"/>
    <col min="7170" max="7170" width="33.5703125" style="17" customWidth="1"/>
    <col min="7171" max="7171" width="30.28515625" style="17" customWidth="1"/>
    <col min="7172" max="7172" width="23.42578125" style="17" customWidth="1"/>
    <col min="7173" max="7173" width="31.28515625" style="17" customWidth="1"/>
    <col min="7174" max="7174" width="25.28515625" style="17" customWidth="1"/>
    <col min="7175" max="7175" width="22.5703125" style="17" customWidth="1"/>
    <col min="7176" max="7176" width="30.5703125" style="17" customWidth="1"/>
    <col min="7177" max="7178" width="9.140625" style="17"/>
    <col min="7179" max="7179" width="12.42578125" style="17" bestFit="1" customWidth="1"/>
    <col min="7180" max="7180" width="9.140625" style="17"/>
    <col min="7181" max="7181" width="10.5703125" style="17" bestFit="1" customWidth="1"/>
    <col min="7182" max="7425" width="9.140625" style="17"/>
    <col min="7426" max="7426" width="33.5703125" style="17" customWidth="1"/>
    <col min="7427" max="7427" width="30.28515625" style="17" customWidth="1"/>
    <col min="7428" max="7428" width="23.42578125" style="17" customWidth="1"/>
    <col min="7429" max="7429" width="31.28515625" style="17" customWidth="1"/>
    <col min="7430" max="7430" width="25.28515625" style="17" customWidth="1"/>
    <col min="7431" max="7431" width="22.5703125" style="17" customWidth="1"/>
    <col min="7432" max="7432" width="30.5703125" style="17" customWidth="1"/>
    <col min="7433" max="7434" width="9.140625" style="17"/>
    <col min="7435" max="7435" width="12.42578125" style="17" bestFit="1" customWidth="1"/>
    <col min="7436" max="7436" width="9.140625" style="17"/>
    <col min="7437" max="7437" width="10.5703125" style="17" bestFit="1" customWidth="1"/>
    <col min="7438" max="7681" width="9.140625" style="17"/>
    <col min="7682" max="7682" width="33.5703125" style="17" customWidth="1"/>
    <col min="7683" max="7683" width="30.28515625" style="17" customWidth="1"/>
    <col min="7684" max="7684" width="23.42578125" style="17" customWidth="1"/>
    <col min="7685" max="7685" width="31.28515625" style="17" customWidth="1"/>
    <col min="7686" max="7686" width="25.28515625" style="17" customWidth="1"/>
    <col min="7687" max="7687" width="22.5703125" style="17" customWidth="1"/>
    <col min="7688" max="7688" width="30.5703125" style="17" customWidth="1"/>
    <col min="7689" max="7690" width="9.140625" style="17"/>
    <col min="7691" max="7691" width="12.42578125" style="17" bestFit="1" customWidth="1"/>
    <col min="7692" max="7692" width="9.140625" style="17"/>
    <col min="7693" max="7693" width="10.5703125" style="17" bestFit="1" customWidth="1"/>
    <col min="7694" max="7937" width="9.140625" style="17"/>
    <col min="7938" max="7938" width="33.5703125" style="17" customWidth="1"/>
    <col min="7939" max="7939" width="30.28515625" style="17" customWidth="1"/>
    <col min="7940" max="7940" width="23.42578125" style="17" customWidth="1"/>
    <col min="7941" max="7941" width="31.28515625" style="17" customWidth="1"/>
    <col min="7942" max="7942" width="25.28515625" style="17" customWidth="1"/>
    <col min="7943" max="7943" width="22.5703125" style="17" customWidth="1"/>
    <col min="7944" max="7944" width="30.5703125" style="17" customWidth="1"/>
    <col min="7945" max="7946" width="9.140625" style="17"/>
    <col min="7947" max="7947" width="12.42578125" style="17" bestFit="1" customWidth="1"/>
    <col min="7948" max="7948" width="9.140625" style="17"/>
    <col min="7949" max="7949" width="10.5703125" style="17" bestFit="1" customWidth="1"/>
    <col min="7950" max="8193" width="9.140625" style="17"/>
    <col min="8194" max="8194" width="33.5703125" style="17" customWidth="1"/>
    <col min="8195" max="8195" width="30.28515625" style="17" customWidth="1"/>
    <col min="8196" max="8196" width="23.42578125" style="17" customWidth="1"/>
    <col min="8197" max="8197" width="31.28515625" style="17" customWidth="1"/>
    <col min="8198" max="8198" width="25.28515625" style="17" customWidth="1"/>
    <col min="8199" max="8199" width="22.5703125" style="17" customWidth="1"/>
    <col min="8200" max="8200" width="30.5703125" style="17" customWidth="1"/>
    <col min="8201" max="8202" width="9.140625" style="17"/>
    <col min="8203" max="8203" width="12.42578125" style="17" bestFit="1" customWidth="1"/>
    <col min="8204" max="8204" width="9.140625" style="17"/>
    <col min="8205" max="8205" width="10.5703125" style="17" bestFit="1" customWidth="1"/>
    <col min="8206" max="8449" width="9.140625" style="17"/>
    <col min="8450" max="8450" width="33.5703125" style="17" customWidth="1"/>
    <col min="8451" max="8451" width="30.28515625" style="17" customWidth="1"/>
    <col min="8452" max="8452" width="23.42578125" style="17" customWidth="1"/>
    <col min="8453" max="8453" width="31.28515625" style="17" customWidth="1"/>
    <col min="8454" max="8454" width="25.28515625" style="17" customWidth="1"/>
    <col min="8455" max="8455" width="22.5703125" style="17" customWidth="1"/>
    <col min="8456" max="8456" width="30.5703125" style="17" customWidth="1"/>
    <col min="8457" max="8458" width="9.140625" style="17"/>
    <col min="8459" max="8459" width="12.42578125" style="17" bestFit="1" customWidth="1"/>
    <col min="8460" max="8460" width="9.140625" style="17"/>
    <col min="8461" max="8461" width="10.5703125" style="17" bestFit="1" customWidth="1"/>
    <col min="8462" max="8705" width="9.140625" style="17"/>
    <col min="8706" max="8706" width="33.5703125" style="17" customWidth="1"/>
    <col min="8707" max="8707" width="30.28515625" style="17" customWidth="1"/>
    <col min="8708" max="8708" width="23.42578125" style="17" customWidth="1"/>
    <col min="8709" max="8709" width="31.28515625" style="17" customWidth="1"/>
    <col min="8710" max="8710" width="25.28515625" style="17" customWidth="1"/>
    <col min="8711" max="8711" width="22.5703125" style="17" customWidth="1"/>
    <col min="8712" max="8712" width="30.5703125" style="17" customWidth="1"/>
    <col min="8713" max="8714" width="9.140625" style="17"/>
    <col min="8715" max="8715" width="12.42578125" style="17" bestFit="1" customWidth="1"/>
    <col min="8716" max="8716" width="9.140625" style="17"/>
    <col min="8717" max="8717" width="10.5703125" style="17" bestFit="1" customWidth="1"/>
    <col min="8718" max="8961" width="9.140625" style="17"/>
    <col min="8962" max="8962" width="33.5703125" style="17" customWidth="1"/>
    <col min="8963" max="8963" width="30.28515625" style="17" customWidth="1"/>
    <col min="8964" max="8964" width="23.42578125" style="17" customWidth="1"/>
    <col min="8965" max="8965" width="31.28515625" style="17" customWidth="1"/>
    <col min="8966" max="8966" width="25.28515625" style="17" customWidth="1"/>
    <col min="8967" max="8967" width="22.5703125" style="17" customWidth="1"/>
    <col min="8968" max="8968" width="30.5703125" style="17" customWidth="1"/>
    <col min="8969" max="8970" width="9.140625" style="17"/>
    <col min="8971" max="8971" width="12.42578125" style="17" bestFit="1" customWidth="1"/>
    <col min="8972" max="8972" width="9.140625" style="17"/>
    <col min="8973" max="8973" width="10.5703125" style="17" bestFit="1" customWidth="1"/>
    <col min="8974" max="9217" width="9.140625" style="17"/>
    <col min="9218" max="9218" width="33.5703125" style="17" customWidth="1"/>
    <col min="9219" max="9219" width="30.28515625" style="17" customWidth="1"/>
    <col min="9220" max="9220" width="23.42578125" style="17" customWidth="1"/>
    <col min="9221" max="9221" width="31.28515625" style="17" customWidth="1"/>
    <col min="9222" max="9222" width="25.28515625" style="17" customWidth="1"/>
    <col min="9223" max="9223" width="22.5703125" style="17" customWidth="1"/>
    <col min="9224" max="9224" width="30.5703125" style="17" customWidth="1"/>
    <col min="9225" max="9226" width="9.140625" style="17"/>
    <col min="9227" max="9227" width="12.42578125" style="17" bestFit="1" customWidth="1"/>
    <col min="9228" max="9228" width="9.140625" style="17"/>
    <col min="9229" max="9229" width="10.5703125" style="17" bestFit="1" customWidth="1"/>
    <col min="9230" max="9473" width="9.140625" style="17"/>
    <col min="9474" max="9474" width="33.5703125" style="17" customWidth="1"/>
    <col min="9475" max="9475" width="30.28515625" style="17" customWidth="1"/>
    <col min="9476" max="9476" width="23.42578125" style="17" customWidth="1"/>
    <col min="9477" max="9477" width="31.28515625" style="17" customWidth="1"/>
    <col min="9478" max="9478" width="25.28515625" style="17" customWidth="1"/>
    <col min="9479" max="9479" width="22.5703125" style="17" customWidth="1"/>
    <col min="9480" max="9480" width="30.5703125" style="17" customWidth="1"/>
    <col min="9481" max="9482" width="9.140625" style="17"/>
    <col min="9483" max="9483" width="12.42578125" style="17" bestFit="1" customWidth="1"/>
    <col min="9484" max="9484" width="9.140625" style="17"/>
    <col min="9485" max="9485" width="10.5703125" style="17" bestFit="1" customWidth="1"/>
    <col min="9486" max="9729" width="9.140625" style="17"/>
    <col min="9730" max="9730" width="33.5703125" style="17" customWidth="1"/>
    <col min="9731" max="9731" width="30.28515625" style="17" customWidth="1"/>
    <col min="9732" max="9732" width="23.42578125" style="17" customWidth="1"/>
    <col min="9733" max="9733" width="31.28515625" style="17" customWidth="1"/>
    <col min="9734" max="9734" width="25.28515625" style="17" customWidth="1"/>
    <col min="9735" max="9735" width="22.5703125" style="17" customWidth="1"/>
    <col min="9736" max="9736" width="30.5703125" style="17" customWidth="1"/>
    <col min="9737" max="9738" width="9.140625" style="17"/>
    <col min="9739" max="9739" width="12.42578125" style="17" bestFit="1" customWidth="1"/>
    <col min="9740" max="9740" width="9.140625" style="17"/>
    <col min="9741" max="9741" width="10.5703125" style="17" bestFit="1" customWidth="1"/>
    <col min="9742" max="9985" width="9.140625" style="17"/>
    <col min="9986" max="9986" width="33.5703125" style="17" customWidth="1"/>
    <col min="9987" max="9987" width="30.28515625" style="17" customWidth="1"/>
    <col min="9988" max="9988" width="23.42578125" style="17" customWidth="1"/>
    <col min="9989" max="9989" width="31.28515625" style="17" customWidth="1"/>
    <col min="9990" max="9990" width="25.28515625" style="17" customWidth="1"/>
    <col min="9991" max="9991" width="22.5703125" style="17" customWidth="1"/>
    <col min="9992" max="9992" width="30.5703125" style="17" customWidth="1"/>
    <col min="9993" max="9994" width="9.140625" style="17"/>
    <col min="9995" max="9995" width="12.42578125" style="17" bestFit="1" customWidth="1"/>
    <col min="9996" max="9996" width="9.140625" style="17"/>
    <col min="9997" max="9997" width="10.5703125" style="17" bestFit="1" customWidth="1"/>
    <col min="9998" max="10241" width="9.140625" style="17"/>
    <col min="10242" max="10242" width="33.5703125" style="17" customWidth="1"/>
    <col min="10243" max="10243" width="30.28515625" style="17" customWidth="1"/>
    <col min="10244" max="10244" width="23.42578125" style="17" customWidth="1"/>
    <col min="10245" max="10245" width="31.28515625" style="17" customWidth="1"/>
    <col min="10246" max="10246" width="25.28515625" style="17" customWidth="1"/>
    <col min="10247" max="10247" width="22.5703125" style="17" customWidth="1"/>
    <col min="10248" max="10248" width="30.5703125" style="17" customWidth="1"/>
    <col min="10249" max="10250" width="9.140625" style="17"/>
    <col min="10251" max="10251" width="12.42578125" style="17" bestFit="1" customWidth="1"/>
    <col min="10252" max="10252" width="9.140625" style="17"/>
    <col min="10253" max="10253" width="10.5703125" style="17" bestFit="1" customWidth="1"/>
    <col min="10254" max="10497" width="9.140625" style="17"/>
    <col min="10498" max="10498" width="33.5703125" style="17" customWidth="1"/>
    <col min="10499" max="10499" width="30.28515625" style="17" customWidth="1"/>
    <col min="10500" max="10500" width="23.42578125" style="17" customWidth="1"/>
    <col min="10501" max="10501" width="31.28515625" style="17" customWidth="1"/>
    <col min="10502" max="10502" width="25.28515625" style="17" customWidth="1"/>
    <col min="10503" max="10503" width="22.5703125" style="17" customWidth="1"/>
    <col min="10504" max="10504" width="30.5703125" style="17" customWidth="1"/>
    <col min="10505" max="10506" width="9.140625" style="17"/>
    <col min="10507" max="10507" width="12.42578125" style="17" bestFit="1" customWidth="1"/>
    <col min="10508" max="10508" width="9.140625" style="17"/>
    <col min="10509" max="10509" width="10.5703125" style="17" bestFit="1" customWidth="1"/>
    <col min="10510" max="10753" width="9.140625" style="17"/>
    <col min="10754" max="10754" width="33.5703125" style="17" customWidth="1"/>
    <col min="10755" max="10755" width="30.28515625" style="17" customWidth="1"/>
    <col min="10756" max="10756" width="23.42578125" style="17" customWidth="1"/>
    <col min="10757" max="10757" width="31.28515625" style="17" customWidth="1"/>
    <col min="10758" max="10758" width="25.28515625" style="17" customWidth="1"/>
    <col min="10759" max="10759" width="22.5703125" style="17" customWidth="1"/>
    <col min="10760" max="10760" width="30.5703125" style="17" customWidth="1"/>
    <col min="10761" max="10762" width="9.140625" style="17"/>
    <col min="10763" max="10763" width="12.42578125" style="17" bestFit="1" customWidth="1"/>
    <col min="10764" max="10764" width="9.140625" style="17"/>
    <col min="10765" max="10765" width="10.5703125" style="17" bestFit="1" customWidth="1"/>
    <col min="10766" max="11009" width="9.140625" style="17"/>
    <col min="11010" max="11010" width="33.5703125" style="17" customWidth="1"/>
    <col min="11011" max="11011" width="30.28515625" style="17" customWidth="1"/>
    <col min="11012" max="11012" width="23.42578125" style="17" customWidth="1"/>
    <col min="11013" max="11013" width="31.28515625" style="17" customWidth="1"/>
    <col min="11014" max="11014" width="25.28515625" style="17" customWidth="1"/>
    <col min="11015" max="11015" width="22.5703125" style="17" customWidth="1"/>
    <col min="11016" max="11016" width="30.5703125" style="17" customWidth="1"/>
    <col min="11017" max="11018" width="9.140625" style="17"/>
    <col min="11019" max="11019" width="12.42578125" style="17" bestFit="1" customWidth="1"/>
    <col min="11020" max="11020" width="9.140625" style="17"/>
    <col min="11021" max="11021" width="10.5703125" style="17" bestFit="1" customWidth="1"/>
    <col min="11022" max="11265" width="9.140625" style="17"/>
    <col min="11266" max="11266" width="33.5703125" style="17" customWidth="1"/>
    <col min="11267" max="11267" width="30.28515625" style="17" customWidth="1"/>
    <col min="11268" max="11268" width="23.42578125" style="17" customWidth="1"/>
    <col min="11269" max="11269" width="31.28515625" style="17" customWidth="1"/>
    <col min="11270" max="11270" width="25.28515625" style="17" customWidth="1"/>
    <col min="11271" max="11271" width="22.5703125" style="17" customWidth="1"/>
    <col min="11272" max="11272" width="30.5703125" style="17" customWidth="1"/>
    <col min="11273" max="11274" width="9.140625" style="17"/>
    <col min="11275" max="11275" width="12.42578125" style="17" bestFit="1" customWidth="1"/>
    <col min="11276" max="11276" width="9.140625" style="17"/>
    <col min="11277" max="11277" width="10.5703125" style="17" bestFit="1" customWidth="1"/>
    <col min="11278" max="11521" width="9.140625" style="17"/>
    <col min="11522" max="11522" width="33.5703125" style="17" customWidth="1"/>
    <col min="11523" max="11523" width="30.28515625" style="17" customWidth="1"/>
    <col min="11524" max="11524" width="23.42578125" style="17" customWidth="1"/>
    <col min="11525" max="11525" width="31.28515625" style="17" customWidth="1"/>
    <col min="11526" max="11526" width="25.28515625" style="17" customWidth="1"/>
    <col min="11527" max="11527" width="22.5703125" style="17" customWidth="1"/>
    <col min="11528" max="11528" width="30.5703125" style="17" customWidth="1"/>
    <col min="11529" max="11530" width="9.140625" style="17"/>
    <col min="11531" max="11531" width="12.42578125" style="17" bestFit="1" customWidth="1"/>
    <col min="11532" max="11532" width="9.140625" style="17"/>
    <col min="11533" max="11533" width="10.5703125" style="17" bestFit="1" customWidth="1"/>
    <col min="11534" max="11777" width="9.140625" style="17"/>
    <col min="11778" max="11778" width="33.5703125" style="17" customWidth="1"/>
    <col min="11779" max="11779" width="30.28515625" style="17" customWidth="1"/>
    <col min="11780" max="11780" width="23.42578125" style="17" customWidth="1"/>
    <col min="11781" max="11781" width="31.28515625" style="17" customWidth="1"/>
    <col min="11782" max="11782" width="25.28515625" style="17" customWidth="1"/>
    <col min="11783" max="11783" width="22.5703125" style="17" customWidth="1"/>
    <col min="11784" max="11784" width="30.5703125" style="17" customWidth="1"/>
    <col min="11785" max="11786" width="9.140625" style="17"/>
    <col min="11787" max="11787" width="12.42578125" style="17" bestFit="1" customWidth="1"/>
    <col min="11788" max="11788" width="9.140625" style="17"/>
    <col min="11789" max="11789" width="10.5703125" style="17" bestFit="1" customWidth="1"/>
    <col min="11790" max="12033" width="9.140625" style="17"/>
    <col min="12034" max="12034" width="33.5703125" style="17" customWidth="1"/>
    <col min="12035" max="12035" width="30.28515625" style="17" customWidth="1"/>
    <col min="12036" max="12036" width="23.42578125" style="17" customWidth="1"/>
    <col min="12037" max="12037" width="31.28515625" style="17" customWidth="1"/>
    <col min="12038" max="12038" width="25.28515625" style="17" customWidth="1"/>
    <col min="12039" max="12039" width="22.5703125" style="17" customWidth="1"/>
    <col min="12040" max="12040" width="30.5703125" style="17" customWidth="1"/>
    <col min="12041" max="12042" width="9.140625" style="17"/>
    <col min="12043" max="12043" width="12.42578125" style="17" bestFit="1" customWidth="1"/>
    <col min="12044" max="12044" width="9.140625" style="17"/>
    <col min="12045" max="12045" width="10.5703125" style="17" bestFit="1" customWidth="1"/>
    <col min="12046" max="12289" width="9.140625" style="17"/>
    <col min="12290" max="12290" width="33.5703125" style="17" customWidth="1"/>
    <col min="12291" max="12291" width="30.28515625" style="17" customWidth="1"/>
    <col min="12292" max="12292" width="23.42578125" style="17" customWidth="1"/>
    <col min="12293" max="12293" width="31.28515625" style="17" customWidth="1"/>
    <col min="12294" max="12294" width="25.28515625" style="17" customWidth="1"/>
    <col min="12295" max="12295" width="22.5703125" style="17" customWidth="1"/>
    <col min="12296" max="12296" width="30.5703125" style="17" customWidth="1"/>
    <col min="12297" max="12298" width="9.140625" style="17"/>
    <col min="12299" max="12299" width="12.42578125" style="17" bestFit="1" customWidth="1"/>
    <col min="12300" max="12300" width="9.140625" style="17"/>
    <col min="12301" max="12301" width="10.5703125" style="17" bestFit="1" customWidth="1"/>
    <col min="12302" max="12545" width="9.140625" style="17"/>
    <col min="12546" max="12546" width="33.5703125" style="17" customWidth="1"/>
    <col min="12547" max="12547" width="30.28515625" style="17" customWidth="1"/>
    <col min="12548" max="12548" width="23.42578125" style="17" customWidth="1"/>
    <col min="12549" max="12549" width="31.28515625" style="17" customWidth="1"/>
    <col min="12550" max="12550" width="25.28515625" style="17" customWidth="1"/>
    <col min="12551" max="12551" width="22.5703125" style="17" customWidth="1"/>
    <col min="12552" max="12552" width="30.5703125" style="17" customWidth="1"/>
    <col min="12553" max="12554" width="9.140625" style="17"/>
    <col min="12555" max="12555" width="12.42578125" style="17" bestFit="1" customWidth="1"/>
    <col min="12556" max="12556" width="9.140625" style="17"/>
    <col min="12557" max="12557" width="10.5703125" style="17" bestFit="1" customWidth="1"/>
    <col min="12558" max="12801" width="9.140625" style="17"/>
    <col min="12802" max="12802" width="33.5703125" style="17" customWidth="1"/>
    <col min="12803" max="12803" width="30.28515625" style="17" customWidth="1"/>
    <col min="12804" max="12804" width="23.42578125" style="17" customWidth="1"/>
    <col min="12805" max="12805" width="31.28515625" style="17" customWidth="1"/>
    <col min="12806" max="12806" width="25.28515625" style="17" customWidth="1"/>
    <col min="12807" max="12807" width="22.5703125" style="17" customWidth="1"/>
    <col min="12808" max="12808" width="30.5703125" style="17" customWidth="1"/>
    <col min="12809" max="12810" width="9.140625" style="17"/>
    <col min="12811" max="12811" width="12.42578125" style="17" bestFit="1" customWidth="1"/>
    <col min="12812" max="12812" width="9.140625" style="17"/>
    <col min="12813" max="12813" width="10.5703125" style="17" bestFit="1" customWidth="1"/>
    <col min="12814" max="13057" width="9.140625" style="17"/>
    <col min="13058" max="13058" width="33.5703125" style="17" customWidth="1"/>
    <col min="13059" max="13059" width="30.28515625" style="17" customWidth="1"/>
    <col min="13060" max="13060" width="23.42578125" style="17" customWidth="1"/>
    <col min="13061" max="13061" width="31.28515625" style="17" customWidth="1"/>
    <col min="13062" max="13062" width="25.28515625" style="17" customWidth="1"/>
    <col min="13063" max="13063" width="22.5703125" style="17" customWidth="1"/>
    <col min="13064" max="13064" width="30.5703125" style="17" customWidth="1"/>
    <col min="13065" max="13066" width="9.140625" style="17"/>
    <col min="13067" max="13067" width="12.42578125" style="17" bestFit="1" customWidth="1"/>
    <col min="13068" max="13068" width="9.140625" style="17"/>
    <col min="13069" max="13069" width="10.5703125" style="17" bestFit="1" customWidth="1"/>
    <col min="13070" max="13313" width="9.140625" style="17"/>
    <col min="13314" max="13314" width="33.5703125" style="17" customWidth="1"/>
    <col min="13315" max="13315" width="30.28515625" style="17" customWidth="1"/>
    <col min="13316" max="13316" width="23.42578125" style="17" customWidth="1"/>
    <col min="13317" max="13317" width="31.28515625" style="17" customWidth="1"/>
    <col min="13318" max="13318" width="25.28515625" style="17" customWidth="1"/>
    <col min="13319" max="13319" width="22.5703125" style="17" customWidth="1"/>
    <col min="13320" max="13320" width="30.5703125" style="17" customWidth="1"/>
    <col min="13321" max="13322" width="9.140625" style="17"/>
    <col min="13323" max="13323" width="12.42578125" style="17" bestFit="1" customWidth="1"/>
    <col min="13324" max="13324" width="9.140625" style="17"/>
    <col min="13325" max="13325" width="10.5703125" style="17" bestFit="1" customWidth="1"/>
    <col min="13326" max="13569" width="9.140625" style="17"/>
    <col min="13570" max="13570" width="33.5703125" style="17" customWidth="1"/>
    <col min="13571" max="13571" width="30.28515625" style="17" customWidth="1"/>
    <col min="13572" max="13572" width="23.42578125" style="17" customWidth="1"/>
    <col min="13573" max="13573" width="31.28515625" style="17" customWidth="1"/>
    <col min="13574" max="13574" width="25.28515625" style="17" customWidth="1"/>
    <col min="13575" max="13575" width="22.5703125" style="17" customWidth="1"/>
    <col min="13576" max="13576" width="30.5703125" style="17" customWidth="1"/>
    <col min="13577" max="13578" width="9.140625" style="17"/>
    <col min="13579" max="13579" width="12.42578125" style="17" bestFit="1" customWidth="1"/>
    <col min="13580" max="13580" width="9.140625" style="17"/>
    <col min="13581" max="13581" width="10.5703125" style="17" bestFit="1" customWidth="1"/>
    <col min="13582" max="13825" width="9.140625" style="17"/>
    <col min="13826" max="13826" width="33.5703125" style="17" customWidth="1"/>
    <col min="13827" max="13827" width="30.28515625" style="17" customWidth="1"/>
    <col min="13828" max="13828" width="23.42578125" style="17" customWidth="1"/>
    <col min="13829" max="13829" width="31.28515625" style="17" customWidth="1"/>
    <col min="13830" max="13830" width="25.28515625" style="17" customWidth="1"/>
    <col min="13831" max="13831" width="22.5703125" style="17" customWidth="1"/>
    <col min="13832" max="13832" width="30.5703125" style="17" customWidth="1"/>
    <col min="13833" max="13834" width="9.140625" style="17"/>
    <col min="13835" max="13835" width="12.42578125" style="17" bestFit="1" customWidth="1"/>
    <col min="13836" max="13836" width="9.140625" style="17"/>
    <col min="13837" max="13837" width="10.5703125" style="17" bestFit="1" customWidth="1"/>
    <col min="13838" max="14081" width="9.140625" style="17"/>
    <col min="14082" max="14082" width="33.5703125" style="17" customWidth="1"/>
    <col min="14083" max="14083" width="30.28515625" style="17" customWidth="1"/>
    <col min="14084" max="14084" width="23.42578125" style="17" customWidth="1"/>
    <col min="14085" max="14085" width="31.28515625" style="17" customWidth="1"/>
    <col min="14086" max="14086" width="25.28515625" style="17" customWidth="1"/>
    <col min="14087" max="14087" width="22.5703125" style="17" customWidth="1"/>
    <col min="14088" max="14088" width="30.5703125" style="17" customWidth="1"/>
    <col min="14089" max="14090" width="9.140625" style="17"/>
    <col min="14091" max="14091" width="12.42578125" style="17" bestFit="1" customWidth="1"/>
    <col min="14092" max="14092" width="9.140625" style="17"/>
    <col min="14093" max="14093" width="10.5703125" style="17" bestFit="1" customWidth="1"/>
    <col min="14094" max="14337" width="9.140625" style="17"/>
    <col min="14338" max="14338" width="33.5703125" style="17" customWidth="1"/>
    <col min="14339" max="14339" width="30.28515625" style="17" customWidth="1"/>
    <col min="14340" max="14340" width="23.42578125" style="17" customWidth="1"/>
    <col min="14341" max="14341" width="31.28515625" style="17" customWidth="1"/>
    <col min="14342" max="14342" width="25.28515625" style="17" customWidth="1"/>
    <col min="14343" max="14343" width="22.5703125" style="17" customWidth="1"/>
    <col min="14344" max="14344" width="30.5703125" style="17" customWidth="1"/>
    <col min="14345" max="14346" width="9.140625" style="17"/>
    <col min="14347" max="14347" width="12.42578125" style="17" bestFit="1" customWidth="1"/>
    <col min="14348" max="14348" width="9.140625" style="17"/>
    <col min="14349" max="14349" width="10.5703125" style="17" bestFit="1" customWidth="1"/>
    <col min="14350" max="14593" width="9.140625" style="17"/>
    <col min="14594" max="14594" width="33.5703125" style="17" customWidth="1"/>
    <col min="14595" max="14595" width="30.28515625" style="17" customWidth="1"/>
    <col min="14596" max="14596" width="23.42578125" style="17" customWidth="1"/>
    <col min="14597" max="14597" width="31.28515625" style="17" customWidth="1"/>
    <col min="14598" max="14598" width="25.28515625" style="17" customWidth="1"/>
    <col min="14599" max="14599" width="22.5703125" style="17" customWidth="1"/>
    <col min="14600" max="14600" width="30.5703125" style="17" customWidth="1"/>
    <col min="14601" max="14602" width="9.140625" style="17"/>
    <col min="14603" max="14603" width="12.42578125" style="17" bestFit="1" customWidth="1"/>
    <col min="14604" max="14604" width="9.140625" style="17"/>
    <col min="14605" max="14605" width="10.5703125" style="17" bestFit="1" customWidth="1"/>
    <col min="14606" max="14849" width="9.140625" style="17"/>
    <col min="14850" max="14850" width="33.5703125" style="17" customWidth="1"/>
    <col min="14851" max="14851" width="30.28515625" style="17" customWidth="1"/>
    <col min="14852" max="14852" width="23.42578125" style="17" customWidth="1"/>
    <col min="14853" max="14853" width="31.28515625" style="17" customWidth="1"/>
    <col min="14854" max="14854" width="25.28515625" style="17" customWidth="1"/>
    <col min="14855" max="14855" width="22.5703125" style="17" customWidth="1"/>
    <col min="14856" max="14856" width="30.5703125" style="17" customWidth="1"/>
    <col min="14857" max="14858" width="9.140625" style="17"/>
    <col min="14859" max="14859" width="12.42578125" style="17" bestFit="1" customWidth="1"/>
    <col min="14860" max="14860" width="9.140625" style="17"/>
    <col min="14861" max="14861" width="10.5703125" style="17" bestFit="1" customWidth="1"/>
    <col min="14862" max="15105" width="9.140625" style="17"/>
    <col min="15106" max="15106" width="33.5703125" style="17" customWidth="1"/>
    <col min="15107" max="15107" width="30.28515625" style="17" customWidth="1"/>
    <col min="15108" max="15108" width="23.42578125" style="17" customWidth="1"/>
    <col min="15109" max="15109" width="31.28515625" style="17" customWidth="1"/>
    <col min="15110" max="15110" width="25.28515625" style="17" customWidth="1"/>
    <col min="15111" max="15111" width="22.5703125" style="17" customWidth="1"/>
    <col min="15112" max="15112" width="30.5703125" style="17" customWidth="1"/>
    <col min="15113" max="15114" width="9.140625" style="17"/>
    <col min="15115" max="15115" width="12.42578125" style="17" bestFit="1" customWidth="1"/>
    <col min="15116" max="15116" width="9.140625" style="17"/>
    <col min="15117" max="15117" width="10.5703125" style="17" bestFit="1" customWidth="1"/>
    <col min="15118" max="15361" width="9.140625" style="17"/>
    <col min="15362" max="15362" width="33.5703125" style="17" customWidth="1"/>
    <col min="15363" max="15363" width="30.28515625" style="17" customWidth="1"/>
    <col min="15364" max="15364" width="23.42578125" style="17" customWidth="1"/>
    <col min="15365" max="15365" width="31.28515625" style="17" customWidth="1"/>
    <col min="15366" max="15366" width="25.28515625" style="17" customWidth="1"/>
    <col min="15367" max="15367" width="22.5703125" style="17" customWidth="1"/>
    <col min="15368" max="15368" width="30.5703125" style="17" customWidth="1"/>
    <col min="15369" max="15370" width="9.140625" style="17"/>
    <col min="15371" max="15371" width="12.42578125" style="17" bestFit="1" customWidth="1"/>
    <col min="15372" max="15372" width="9.140625" style="17"/>
    <col min="15373" max="15373" width="10.5703125" style="17" bestFit="1" customWidth="1"/>
    <col min="15374" max="15617" width="9.140625" style="17"/>
    <col min="15618" max="15618" width="33.5703125" style="17" customWidth="1"/>
    <col min="15619" max="15619" width="30.28515625" style="17" customWidth="1"/>
    <col min="15620" max="15620" width="23.42578125" style="17" customWidth="1"/>
    <col min="15621" max="15621" width="31.28515625" style="17" customWidth="1"/>
    <col min="15622" max="15622" width="25.28515625" style="17" customWidth="1"/>
    <col min="15623" max="15623" width="22.5703125" style="17" customWidth="1"/>
    <col min="15624" max="15624" width="30.5703125" style="17" customWidth="1"/>
    <col min="15625" max="15626" width="9.140625" style="17"/>
    <col min="15627" max="15627" width="12.42578125" style="17" bestFit="1" customWidth="1"/>
    <col min="15628" max="15628" width="9.140625" style="17"/>
    <col min="15629" max="15629" width="10.5703125" style="17" bestFit="1" customWidth="1"/>
    <col min="15630" max="15873" width="9.140625" style="17"/>
    <col min="15874" max="15874" width="33.5703125" style="17" customWidth="1"/>
    <col min="15875" max="15875" width="30.28515625" style="17" customWidth="1"/>
    <col min="15876" max="15876" width="23.42578125" style="17" customWidth="1"/>
    <col min="15877" max="15877" width="31.28515625" style="17" customWidth="1"/>
    <col min="15878" max="15878" width="25.28515625" style="17" customWidth="1"/>
    <col min="15879" max="15879" width="22.5703125" style="17" customWidth="1"/>
    <col min="15880" max="15880" width="30.5703125" style="17" customWidth="1"/>
    <col min="15881" max="15882" width="9.140625" style="17"/>
    <col min="15883" max="15883" width="12.42578125" style="17" bestFit="1" customWidth="1"/>
    <col min="15884" max="15884" width="9.140625" style="17"/>
    <col min="15885" max="15885" width="10.5703125" style="17" bestFit="1" customWidth="1"/>
    <col min="15886" max="16129" width="9.140625" style="17"/>
    <col min="16130" max="16130" width="33.5703125" style="17" customWidth="1"/>
    <col min="16131" max="16131" width="30.28515625" style="17" customWidth="1"/>
    <col min="16132" max="16132" width="23.42578125" style="17" customWidth="1"/>
    <col min="16133" max="16133" width="31.28515625" style="17" customWidth="1"/>
    <col min="16134" max="16134" width="25.28515625" style="17" customWidth="1"/>
    <col min="16135" max="16135" width="22.5703125" style="17" customWidth="1"/>
    <col min="16136" max="16136" width="30.5703125" style="17" customWidth="1"/>
    <col min="16137" max="16138" width="9.140625" style="17"/>
    <col min="16139" max="16139" width="12.42578125" style="17" bestFit="1" customWidth="1"/>
    <col min="16140" max="16140" width="9.140625" style="17"/>
    <col min="16141" max="16141" width="10.5703125" style="17" bestFit="1" customWidth="1"/>
    <col min="16142" max="16384" width="9.140625" style="17"/>
  </cols>
  <sheetData>
    <row r="1" spans="1:10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146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19" t="s">
        <v>10</v>
      </c>
      <c r="G7" s="19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21" t="s">
        <v>147</v>
      </c>
      <c r="C9" s="22" t="s">
        <v>46</v>
      </c>
      <c r="D9" s="21">
        <f>F9/12</f>
        <v>98202.215000000011</v>
      </c>
      <c r="E9" s="21">
        <f>SUM(F9,G9)</f>
        <v>1436798.3800000001</v>
      </c>
      <c r="F9" s="21">
        <v>1178426.58</v>
      </c>
      <c r="G9" s="21">
        <v>258371.8</v>
      </c>
      <c r="H9" s="30">
        <v>3.2</v>
      </c>
      <c r="I9" s="18"/>
      <c r="J9" s="18"/>
    </row>
    <row r="10" spans="1:10" ht="45" x14ac:dyDescent="0.25">
      <c r="A10" s="20">
        <v>2</v>
      </c>
      <c r="B10" s="21" t="s">
        <v>148</v>
      </c>
      <c r="C10" s="22" t="s">
        <v>149</v>
      </c>
      <c r="D10" s="21">
        <v>93455.69</v>
      </c>
      <c r="E10" s="21">
        <v>1223110.56</v>
      </c>
      <c r="F10" s="21">
        <v>1121468.28</v>
      </c>
      <c r="G10" s="58" t="s">
        <v>150</v>
      </c>
      <c r="H10" s="59">
        <v>3</v>
      </c>
      <c r="I10" s="18"/>
      <c r="J10" s="18"/>
    </row>
    <row r="11" spans="1:10" ht="30" x14ac:dyDescent="0.25">
      <c r="A11" s="20">
        <v>3</v>
      </c>
      <c r="B11" s="21" t="s">
        <v>311</v>
      </c>
      <c r="C11" s="22" t="s">
        <v>71</v>
      </c>
      <c r="D11" s="21">
        <v>95966.07</v>
      </c>
      <c r="E11" s="21">
        <v>1108994.82</v>
      </c>
      <c r="F11" s="21">
        <v>959660.68</v>
      </c>
      <c r="G11" s="21">
        <v>149334.14000000001</v>
      </c>
      <c r="H11" s="30">
        <v>3.1</v>
      </c>
      <c r="I11" s="18"/>
      <c r="J11" s="18"/>
    </row>
    <row r="12" spans="1:10" x14ac:dyDescent="0.25">
      <c r="A12" s="20">
        <v>4</v>
      </c>
      <c r="B12" s="21" t="s">
        <v>151</v>
      </c>
      <c r="C12" s="22" t="s">
        <v>17</v>
      </c>
      <c r="D12" s="21">
        <v>69084.44</v>
      </c>
      <c r="E12" s="21">
        <v>861249.83</v>
      </c>
      <c r="F12" s="21">
        <v>829013.29</v>
      </c>
      <c r="G12" s="21">
        <v>32236.54</v>
      </c>
      <c r="H12" s="30">
        <v>2.2000000000000002</v>
      </c>
      <c r="I12" s="18"/>
      <c r="J12" s="18"/>
    </row>
    <row r="13" spans="1:10" x14ac:dyDescent="0.25">
      <c r="A13" s="22"/>
      <c r="B13" s="106" t="s">
        <v>18</v>
      </c>
      <c r="C13" s="107"/>
      <c r="D13" s="21">
        <v>31020.07</v>
      </c>
      <c r="E13" s="21">
        <v>95971119.409999996</v>
      </c>
      <c r="F13" s="21">
        <v>86099300.640000001</v>
      </c>
      <c r="G13" s="21">
        <v>9871818.7699999996</v>
      </c>
      <c r="H13" s="20"/>
      <c r="I13" s="18"/>
      <c r="J13" s="18"/>
    </row>
    <row r="14" spans="1:10" x14ac:dyDescent="0.25">
      <c r="A14" s="18"/>
      <c r="B14" s="18"/>
      <c r="C14" s="18"/>
      <c r="D14" s="18"/>
      <c r="E14" s="24"/>
      <c r="F14" s="24"/>
      <c r="G14" s="24"/>
      <c r="H14" s="18"/>
      <c r="I14" s="18"/>
      <c r="J14" s="18"/>
    </row>
    <row r="15" spans="1:10" x14ac:dyDescent="0.25">
      <c r="A15" s="108" t="s">
        <v>19</v>
      </c>
      <c r="B15" s="108"/>
      <c r="C15" s="108"/>
      <c r="D15" s="108"/>
      <c r="E15" s="108"/>
      <c r="F15" s="108"/>
      <c r="G15" s="108"/>
      <c r="H15" s="108"/>
      <c r="I15" s="108"/>
      <c r="J15" s="108"/>
    </row>
    <row r="16" spans="1:10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3" x14ac:dyDescent="0.25">
      <c r="A17" s="18"/>
      <c r="B17" s="18"/>
      <c r="C17" s="18"/>
      <c r="D17" s="18"/>
      <c r="E17" s="18"/>
      <c r="F17" s="18"/>
      <c r="G17" s="18"/>
      <c r="H17" s="24"/>
      <c r="I17" s="18"/>
      <c r="J17" s="18"/>
      <c r="K17" s="60"/>
    </row>
    <row r="18" spans="1:13" x14ac:dyDescent="0.25">
      <c r="A18" s="18"/>
      <c r="B18" s="18"/>
      <c r="C18" s="18"/>
      <c r="D18" s="18"/>
      <c r="E18" s="18"/>
      <c r="F18" s="18"/>
      <c r="G18" s="18"/>
      <c r="H18" s="24"/>
      <c r="I18" s="18"/>
      <c r="J18" s="18"/>
    </row>
    <row r="19" spans="1:13" x14ac:dyDescent="0.25">
      <c r="A19" s="18"/>
      <c r="B19" s="18" t="s">
        <v>20</v>
      </c>
      <c r="C19" s="25"/>
      <c r="D19" s="26"/>
      <c r="E19" s="27" t="s">
        <v>152</v>
      </c>
      <c r="F19" s="25"/>
      <c r="G19" s="18"/>
      <c r="H19" s="18"/>
      <c r="I19" s="18"/>
      <c r="J19" s="18"/>
      <c r="K19" s="61"/>
      <c r="M19" s="61"/>
    </row>
    <row r="20" spans="1:13" x14ac:dyDescent="0.25">
      <c r="A20" s="18"/>
      <c r="B20" s="18"/>
      <c r="C20" s="28" t="s">
        <v>22</v>
      </c>
      <c r="D20" s="18"/>
      <c r="E20" s="99" t="s">
        <v>23</v>
      </c>
      <c r="F20" s="99"/>
      <c r="G20" s="18"/>
      <c r="H20" s="18"/>
      <c r="I20" s="18"/>
      <c r="J20" s="18"/>
      <c r="K20" s="60"/>
    </row>
    <row r="21" spans="1:13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3" x14ac:dyDescent="0.25">
      <c r="A22" s="18"/>
      <c r="B22" s="18" t="s">
        <v>17</v>
      </c>
      <c r="C22" s="25"/>
      <c r="D22" s="26"/>
      <c r="E22" s="27" t="s">
        <v>153</v>
      </c>
      <c r="F22" s="25"/>
      <c r="G22" s="18"/>
      <c r="H22" s="24"/>
      <c r="I22" s="18"/>
      <c r="J22" s="18"/>
    </row>
    <row r="23" spans="1:13" x14ac:dyDescent="0.25">
      <c r="A23" s="18"/>
      <c r="B23" s="18"/>
      <c r="C23" s="28" t="s">
        <v>22</v>
      </c>
      <c r="D23" s="18"/>
      <c r="E23" s="99" t="s">
        <v>23</v>
      </c>
      <c r="F23" s="99"/>
      <c r="G23" s="18"/>
      <c r="H23" s="18"/>
      <c r="I23" s="18"/>
      <c r="J23" s="18"/>
    </row>
    <row r="24" spans="1:13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60"/>
    </row>
    <row r="26" spans="1:13" x14ac:dyDescent="0.25">
      <c r="H26" s="60"/>
    </row>
  </sheetData>
  <mergeCells count="14">
    <mergeCell ref="B13:C13"/>
    <mergeCell ref="A15:J15"/>
    <mergeCell ref="E20:F20"/>
    <mergeCell ref="E23:F23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G20" sqref="G20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customHeight="1" x14ac:dyDescent="0.3">
      <c r="A1" s="120" t="s">
        <v>0</v>
      </c>
      <c r="B1" s="120"/>
      <c r="C1" s="120"/>
      <c r="D1" s="120"/>
      <c r="E1" s="120"/>
      <c r="F1" s="120"/>
      <c r="G1" s="120"/>
      <c r="H1" s="120"/>
      <c r="I1" s="62"/>
      <c r="J1" s="62"/>
    </row>
    <row r="2" spans="1:10" x14ac:dyDescent="0.25">
      <c r="A2" s="62"/>
      <c r="B2" s="62"/>
      <c r="C2" s="62"/>
      <c r="D2" s="62"/>
      <c r="E2" s="63" t="s">
        <v>1</v>
      </c>
      <c r="F2" s="62"/>
      <c r="G2" s="62"/>
      <c r="H2" s="62"/>
      <c r="I2" s="62"/>
      <c r="J2" s="62"/>
    </row>
    <row r="3" spans="1:10" x14ac:dyDescent="0.25">
      <c r="A3" s="121" t="s">
        <v>154</v>
      </c>
      <c r="B3" s="121"/>
      <c r="C3" s="121"/>
      <c r="D3" s="121"/>
      <c r="E3" s="121"/>
      <c r="F3" s="121"/>
      <c r="G3" s="121"/>
      <c r="H3" s="121"/>
      <c r="I3" s="62"/>
      <c r="J3" s="62"/>
    </row>
    <row r="4" spans="1:10" x14ac:dyDescent="0.25">
      <c r="A4" s="122" t="s">
        <v>2</v>
      </c>
      <c r="B4" s="122"/>
      <c r="C4" s="122"/>
      <c r="D4" s="122"/>
      <c r="E4" s="122"/>
      <c r="F4" s="122"/>
      <c r="G4" s="122"/>
      <c r="H4" s="122"/>
      <c r="I4" s="62"/>
      <c r="J4" s="62"/>
    </row>
    <row r="5" spans="1:10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25">
      <c r="A6" s="123" t="s">
        <v>3</v>
      </c>
      <c r="B6" s="124" t="s">
        <v>4</v>
      </c>
      <c r="C6" s="124" t="s">
        <v>5</v>
      </c>
      <c r="D6" s="124" t="s">
        <v>6</v>
      </c>
      <c r="E6" s="124" t="s">
        <v>7</v>
      </c>
      <c r="F6" s="125" t="s">
        <v>8</v>
      </c>
      <c r="G6" s="125"/>
      <c r="H6" s="124" t="s">
        <v>9</v>
      </c>
      <c r="I6" s="62"/>
      <c r="J6" s="62"/>
    </row>
    <row r="7" spans="1:10" ht="57" x14ac:dyDescent="0.25">
      <c r="A7" s="123"/>
      <c r="B7" s="124"/>
      <c r="C7" s="124"/>
      <c r="D7" s="124"/>
      <c r="E7" s="124"/>
      <c r="F7" s="94" t="s">
        <v>10</v>
      </c>
      <c r="G7" s="94" t="s">
        <v>11</v>
      </c>
      <c r="H7" s="124"/>
      <c r="I7" s="62"/>
      <c r="J7" s="62"/>
    </row>
    <row r="8" spans="1:10" x14ac:dyDescent="0.25">
      <c r="A8" s="64">
        <v>1</v>
      </c>
      <c r="B8" s="64">
        <v>2</v>
      </c>
      <c r="C8" s="64">
        <v>3</v>
      </c>
      <c r="D8" s="64">
        <v>4</v>
      </c>
      <c r="E8" s="64">
        <v>5</v>
      </c>
      <c r="F8" s="64">
        <v>6</v>
      </c>
      <c r="G8" s="64">
        <v>7</v>
      </c>
      <c r="H8" s="64">
        <v>8</v>
      </c>
      <c r="I8" s="62"/>
      <c r="J8" s="62"/>
    </row>
    <row r="9" spans="1:10" x14ac:dyDescent="0.25">
      <c r="A9" s="64">
        <v>1</v>
      </c>
      <c r="B9" s="65" t="s">
        <v>155</v>
      </c>
      <c r="C9" s="66" t="s">
        <v>46</v>
      </c>
      <c r="D9" s="65">
        <v>107927.34</v>
      </c>
      <c r="E9" s="65">
        <v>1552669.53</v>
      </c>
      <c r="F9" s="65">
        <v>1295128.05</v>
      </c>
      <c r="G9" s="65">
        <v>257541.48</v>
      </c>
      <c r="H9" s="67">
        <v>3.5</v>
      </c>
      <c r="I9" s="62"/>
      <c r="J9" s="62"/>
    </row>
    <row r="10" spans="1:10" ht="30" x14ac:dyDescent="0.25">
      <c r="A10" s="64">
        <v>2</v>
      </c>
      <c r="B10" s="65" t="s">
        <v>156</v>
      </c>
      <c r="C10" s="66" t="s">
        <v>166</v>
      </c>
      <c r="D10" s="65">
        <v>120857.44</v>
      </c>
      <c r="E10" s="65">
        <v>1568814.22</v>
      </c>
      <c r="F10" s="65">
        <v>1450289.26</v>
      </c>
      <c r="G10" s="65">
        <v>118524.96</v>
      </c>
      <c r="H10" s="67">
        <v>4</v>
      </c>
      <c r="I10" s="62"/>
      <c r="J10" s="62"/>
    </row>
    <row r="11" spans="1:10" ht="30" x14ac:dyDescent="0.25">
      <c r="A11" s="64">
        <v>3</v>
      </c>
      <c r="B11" s="65" t="s">
        <v>157</v>
      </c>
      <c r="C11" s="66" t="s">
        <v>82</v>
      </c>
      <c r="D11" s="65">
        <v>93870.32</v>
      </c>
      <c r="E11" s="65">
        <v>1230478.24</v>
      </c>
      <c r="F11" s="65">
        <v>1126443.78</v>
      </c>
      <c r="G11" s="65">
        <v>104034.46</v>
      </c>
      <c r="H11" s="67">
        <v>3.1</v>
      </c>
      <c r="I11" s="62"/>
      <c r="J11" s="62"/>
    </row>
    <row r="12" spans="1:10" x14ac:dyDescent="0.25">
      <c r="A12" s="64">
        <v>4</v>
      </c>
      <c r="B12" s="65" t="s">
        <v>158</v>
      </c>
      <c r="C12" s="66" t="s">
        <v>17</v>
      </c>
      <c r="D12" s="65">
        <v>81706.58</v>
      </c>
      <c r="E12" s="65">
        <v>1020113</v>
      </c>
      <c r="F12" s="65">
        <v>980479</v>
      </c>
      <c r="G12" s="65">
        <v>39634</v>
      </c>
      <c r="H12" s="67">
        <v>2.7</v>
      </c>
      <c r="I12" s="62"/>
      <c r="J12" s="62"/>
    </row>
    <row r="13" spans="1:10" x14ac:dyDescent="0.25">
      <c r="A13" s="66"/>
      <c r="B13" s="126" t="s">
        <v>18</v>
      </c>
      <c r="C13" s="127"/>
      <c r="D13" s="65">
        <v>30108.15</v>
      </c>
      <c r="E13" s="65">
        <v>110536825</v>
      </c>
      <c r="F13" s="65">
        <v>96321981.099999994</v>
      </c>
      <c r="G13" s="65">
        <v>14214843.9</v>
      </c>
      <c r="H13" s="64"/>
      <c r="I13" s="62"/>
      <c r="J13" s="62"/>
    </row>
    <row r="14" spans="1:10" x14ac:dyDescent="0.25">
      <c r="A14" s="62"/>
      <c r="B14" s="62"/>
      <c r="C14" s="62"/>
      <c r="D14" s="62"/>
      <c r="E14" s="68"/>
      <c r="F14" s="68"/>
      <c r="G14" s="68"/>
      <c r="H14" s="62"/>
      <c r="I14" s="62"/>
      <c r="J14" s="62"/>
    </row>
    <row r="15" spans="1:10" x14ac:dyDescent="0.25">
      <c r="A15" s="128" t="s">
        <v>19</v>
      </c>
      <c r="B15" s="128"/>
      <c r="C15" s="128"/>
      <c r="D15" s="128"/>
      <c r="E15" s="128"/>
      <c r="F15" s="128"/>
      <c r="G15" s="128"/>
      <c r="H15" s="128"/>
      <c r="I15" s="128"/>
      <c r="J15" s="128"/>
    </row>
    <row r="16" spans="1:10" x14ac:dyDescent="0.25">
      <c r="A16" s="62"/>
      <c r="B16" s="62"/>
      <c r="C16" s="62"/>
      <c r="D16" s="62"/>
      <c r="E16" s="62"/>
      <c r="F16" s="62"/>
      <c r="G16" s="62"/>
      <c r="H16" s="62"/>
      <c r="I16" s="62"/>
      <c r="J16" s="62"/>
    </row>
    <row r="17" spans="1:10" x14ac:dyDescent="0.25">
      <c r="A17" s="62"/>
      <c r="B17" s="62"/>
      <c r="C17" s="62"/>
      <c r="D17" s="62"/>
      <c r="E17" s="62"/>
      <c r="F17" s="62"/>
      <c r="G17" s="62"/>
      <c r="H17" s="62"/>
      <c r="I17" s="62"/>
      <c r="J17" s="62"/>
    </row>
    <row r="18" spans="1:10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</row>
    <row r="19" spans="1:10" x14ac:dyDescent="0.25">
      <c r="A19" s="62"/>
      <c r="B19" s="62" t="s">
        <v>20</v>
      </c>
      <c r="C19" s="69"/>
      <c r="D19" s="70"/>
      <c r="E19" s="93" t="s">
        <v>159</v>
      </c>
      <c r="F19" s="69"/>
      <c r="G19" s="62"/>
      <c r="H19" s="62"/>
      <c r="I19" s="62"/>
      <c r="J19" s="62"/>
    </row>
    <row r="20" spans="1:10" x14ac:dyDescent="0.25">
      <c r="A20" s="62"/>
      <c r="B20" s="62"/>
      <c r="C20" s="71" t="s">
        <v>22</v>
      </c>
      <c r="D20" s="62"/>
      <c r="E20" s="119" t="s">
        <v>23</v>
      </c>
      <c r="F20" s="119"/>
      <c r="G20" s="62"/>
      <c r="H20" s="62"/>
      <c r="I20" s="62"/>
      <c r="J20" s="62"/>
    </row>
    <row r="21" spans="1:10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</row>
    <row r="22" spans="1:10" x14ac:dyDescent="0.25">
      <c r="A22" s="62"/>
      <c r="B22" s="62" t="s">
        <v>17</v>
      </c>
      <c r="C22" s="69"/>
      <c r="D22" s="70"/>
      <c r="E22" s="93" t="s">
        <v>160</v>
      </c>
      <c r="F22" s="69"/>
      <c r="G22" s="62"/>
      <c r="H22" s="62"/>
      <c r="I22" s="62"/>
      <c r="J22" s="62"/>
    </row>
    <row r="23" spans="1:10" x14ac:dyDescent="0.25">
      <c r="A23" s="62"/>
      <c r="B23" s="62"/>
      <c r="C23" s="71" t="s">
        <v>22</v>
      </c>
      <c r="D23" s="62"/>
      <c r="E23" s="119" t="s">
        <v>23</v>
      </c>
      <c r="F23" s="119"/>
      <c r="G23" s="62"/>
      <c r="H23" s="62"/>
      <c r="I23" s="62"/>
      <c r="J23" s="62"/>
    </row>
    <row r="24" spans="1:10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</row>
  </sheetData>
  <mergeCells count="14">
    <mergeCell ref="E20:F20"/>
    <mergeCell ref="E23:F23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3:C13"/>
    <mergeCell ref="A15:J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B21" sqref="B21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161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19" t="s">
        <v>10</v>
      </c>
      <c r="G7" s="19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21" t="s">
        <v>162</v>
      </c>
      <c r="C9" s="22" t="s">
        <v>27</v>
      </c>
      <c r="D9" s="21">
        <f>F9/12</f>
        <v>118700.21916666666</v>
      </c>
      <c r="E9" s="21">
        <f>F9+G9</f>
        <v>1648098.63</v>
      </c>
      <c r="F9" s="21">
        <v>1424402.63</v>
      </c>
      <c r="G9" s="21">
        <v>223696</v>
      </c>
      <c r="H9" s="30">
        <f>D9/D18</f>
        <v>3.0703630534421147</v>
      </c>
      <c r="I9" s="18"/>
      <c r="J9" s="18"/>
    </row>
    <row r="10" spans="1:10" ht="30" x14ac:dyDescent="0.25">
      <c r="A10" s="20">
        <v>2</v>
      </c>
      <c r="B10" s="21" t="s">
        <v>163</v>
      </c>
      <c r="C10" s="22" t="s">
        <v>71</v>
      </c>
      <c r="D10" s="21">
        <f>F10/12/0.7</f>
        <v>96865.466666666689</v>
      </c>
      <c r="E10" s="21">
        <f t="shared" ref="E10:E18" si="0">F10+G10</f>
        <v>813669.92</v>
      </c>
      <c r="F10" s="21">
        <v>813669.92</v>
      </c>
      <c r="G10" s="21">
        <v>0</v>
      </c>
      <c r="H10" s="30">
        <f>D10/D18</f>
        <v>2.5055737225738945</v>
      </c>
      <c r="I10" s="18"/>
      <c r="J10" s="18"/>
    </row>
    <row r="11" spans="1:10" ht="45" x14ac:dyDescent="0.25">
      <c r="A11" s="20">
        <v>3</v>
      </c>
      <c r="B11" s="21" t="s">
        <v>164</v>
      </c>
      <c r="C11" s="22" t="s">
        <v>80</v>
      </c>
      <c r="D11" s="21">
        <f>F11/12</f>
        <v>101829.96583333334</v>
      </c>
      <c r="E11" s="21">
        <f t="shared" si="0"/>
        <v>1221959.5900000001</v>
      </c>
      <c r="F11" s="21">
        <v>1221959.5900000001</v>
      </c>
      <c r="G11" s="21">
        <v>0</v>
      </c>
      <c r="H11" s="30">
        <f>D11/D18</f>
        <v>2.6339881006364574</v>
      </c>
      <c r="I11" s="18"/>
      <c r="J11" s="18"/>
    </row>
    <row r="12" spans="1:10" ht="30" x14ac:dyDescent="0.25">
      <c r="A12" s="20">
        <v>4</v>
      </c>
      <c r="B12" s="21" t="s">
        <v>165</v>
      </c>
      <c r="C12" s="22" t="s">
        <v>166</v>
      </c>
      <c r="D12" s="21">
        <f>F12/12</f>
        <v>101342.35583333333</v>
      </c>
      <c r="E12" s="21">
        <f t="shared" si="0"/>
        <v>1216108.27</v>
      </c>
      <c r="F12" s="21">
        <v>1216108.27</v>
      </c>
      <c r="G12" s="21">
        <v>0</v>
      </c>
      <c r="H12" s="30">
        <f>D12/D18</f>
        <v>2.6213753208202148</v>
      </c>
      <c r="I12" s="18"/>
      <c r="J12" s="18"/>
    </row>
    <row r="13" spans="1:10" ht="30" x14ac:dyDescent="0.25">
      <c r="A13" s="20">
        <v>5</v>
      </c>
      <c r="B13" s="21" t="s">
        <v>167</v>
      </c>
      <c r="C13" s="22" t="s">
        <v>168</v>
      </c>
      <c r="D13" s="21">
        <f>F13/12/0.4</f>
        <v>79908.066666666666</v>
      </c>
      <c r="E13" s="21">
        <f t="shared" si="0"/>
        <v>402858.91</v>
      </c>
      <c r="F13" s="21">
        <v>383558.72</v>
      </c>
      <c r="G13" s="21">
        <v>19300.189999999999</v>
      </c>
      <c r="H13" s="30">
        <f>D13/D18</f>
        <v>2.0669445876998087</v>
      </c>
      <c r="I13" s="18"/>
      <c r="J13" s="18"/>
    </row>
    <row r="14" spans="1:10" ht="30" x14ac:dyDescent="0.25">
      <c r="A14" s="20">
        <v>6</v>
      </c>
      <c r="B14" s="21" t="s">
        <v>169</v>
      </c>
      <c r="C14" s="22" t="s">
        <v>168</v>
      </c>
      <c r="D14" s="21">
        <f>F14/12/0.3</f>
        <v>82316.358333333337</v>
      </c>
      <c r="E14" s="21">
        <f t="shared" si="0"/>
        <v>296338.89</v>
      </c>
      <c r="F14" s="21">
        <v>296338.89</v>
      </c>
      <c r="G14" s="21">
        <v>0</v>
      </c>
      <c r="H14" s="30">
        <f>D14/D18</f>
        <v>2.1292387418905729</v>
      </c>
      <c r="I14" s="18"/>
      <c r="J14" s="18"/>
    </row>
    <row r="15" spans="1:10" ht="30" x14ac:dyDescent="0.25">
      <c r="A15" s="20">
        <v>7</v>
      </c>
      <c r="B15" s="21" t="s">
        <v>170</v>
      </c>
      <c r="C15" s="22" t="s">
        <v>55</v>
      </c>
      <c r="D15" s="21">
        <f>F15/12</f>
        <v>90220.17333333334</v>
      </c>
      <c r="E15" s="21">
        <f t="shared" si="0"/>
        <v>1082642.08</v>
      </c>
      <c r="F15" s="21">
        <v>1082642.08</v>
      </c>
      <c r="G15" s="21">
        <v>0</v>
      </c>
      <c r="H15" s="30">
        <f>D15/D18</f>
        <v>2.333683027904633</v>
      </c>
      <c r="I15" s="18"/>
      <c r="J15" s="18"/>
    </row>
    <row r="16" spans="1:10" x14ac:dyDescent="0.25">
      <c r="A16" s="20"/>
      <c r="B16" s="21"/>
      <c r="C16" s="22"/>
      <c r="D16" s="21"/>
      <c r="E16" s="21">
        <f t="shared" si="0"/>
        <v>0</v>
      </c>
      <c r="F16" s="21"/>
      <c r="G16" s="21"/>
      <c r="H16" s="23"/>
      <c r="I16" s="18"/>
      <c r="J16" s="18"/>
    </row>
    <row r="17" spans="1:10" x14ac:dyDescent="0.25">
      <c r="A17" s="20">
        <v>8</v>
      </c>
      <c r="B17" s="21" t="s">
        <v>171</v>
      </c>
      <c r="C17" s="22" t="s">
        <v>17</v>
      </c>
      <c r="D17" s="21">
        <f>F17/12</f>
        <v>92557.705833333326</v>
      </c>
      <c r="E17" s="21">
        <f t="shared" si="0"/>
        <v>1110692.47</v>
      </c>
      <c r="F17" s="21">
        <v>1110692.47</v>
      </c>
      <c r="G17" s="21">
        <v>0</v>
      </c>
      <c r="H17" s="30">
        <f>D17/D18</f>
        <v>2.3941468878250838</v>
      </c>
      <c r="I17" s="18"/>
      <c r="J17" s="18"/>
    </row>
    <row r="18" spans="1:10" x14ac:dyDescent="0.25">
      <c r="A18" s="22"/>
      <c r="B18" s="106" t="s">
        <v>18</v>
      </c>
      <c r="C18" s="107"/>
      <c r="D18" s="72">
        <f>F18/12/777.4</f>
        <v>38659.994632750197</v>
      </c>
      <c r="E18" s="21">
        <f t="shared" si="0"/>
        <v>363438931.59000003</v>
      </c>
      <c r="F18" s="21">
        <v>360651357.93000001</v>
      </c>
      <c r="G18" s="21">
        <v>2787573.66</v>
      </c>
      <c r="H18" s="20"/>
      <c r="I18" s="18"/>
      <c r="J18" s="18"/>
    </row>
    <row r="19" spans="1:10" x14ac:dyDescent="0.25">
      <c r="A19" s="18"/>
      <c r="B19" s="18"/>
      <c r="C19" s="18"/>
      <c r="D19" s="18"/>
      <c r="E19" s="24"/>
      <c r="F19" s="24"/>
      <c r="G19" s="24"/>
      <c r="H19" s="18"/>
      <c r="I19" s="18"/>
      <c r="J19" s="18"/>
    </row>
    <row r="20" spans="1:10" x14ac:dyDescent="0.25">
      <c r="A20" s="108" t="s">
        <v>19</v>
      </c>
      <c r="B20" s="108"/>
      <c r="C20" s="108"/>
      <c r="D20" s="108"/>
      <c r="E20" s="108"/>
      <c r="F20" s="108"/>
      <c r="G20" s="108"/>
      <c r="H20" s="108"/>
      <c r="I20" s="108"/>
      <c r="J20" s="10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8"/>
      <c r="B24" s="18" t="s">
        <v>20</v>
      </c>
      <c r="C24" s="25"/>
      <c r="D24" s="26"/>
      <c r="E24" s="27" t="s">
        <v>172</v>
      </c>
      <c r="F24" s="25"/>
      <c r="G24" s="18"/>
      <c r="H24" s="18"/>
      <c r="I24" s="18"/>
      <c r="J24" s="18"/>
    </row>
    <row r="25" spans="1:10" x14ac:dyDescent="0.25">
      <c r="A25" s="18"/>
      <c r="B25" s="18"/>
      <c r="C25" s="28" t="s">
        <v>22</v>
      </c>
      <c r="D25" s="18"/>
      <c r="E25" s="99" t="s">
        <v>23</v>
      </c>
      <c r="F25" s="99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5">
      <c r="A27" s="18"/>
      <c r="B27" s="18" t="s">
        <v>17</v>
      </c>
      <c r="C27" s="25"/>
      <c r="D27" s="26"/>
      <c r="E27" s="27" t="s">
        <v>173</v>
      </c>
      <c r="F27" s="25"/>
      <c r="G27" s="18"/>
      <c r="H27" s="18"/>
      <c r="I27" s="18"/>
      <c r="J27" s="18"/>
    </row>
    <row r="28" spans="1:10" x14ac:dyDescent="0.25">
      <c r="A28" s="18"/>
      <c r="B28" s="18"/>
      <c r="C28" s="28" t="s">
        <v>22</v>
      </c>
      <c r="D28" s="18"/>
      <c r="E28" s="99" t="s">
        <v>23</v>
      </c>
      <c r="F28" s="99"/>
      <c r="G28" s="18"/>
      <c r="H28" s="18"/>
      <c r="I28" s="18"/>
      <c r="J28" s="18"/>
    </row>
    <row r="29" spans="1:10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</row>
  </sheetData>
  <mergeCells count="14">
    <mergeCell ref="B18:C18"/>
    <mergeCell ref="A20:J20"/>
    <mergeCell ref="E25:F25"/>
    <mergeCell ref="E28:F28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A17" sqref="A17:J18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174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19" t="s">
        <v>10</v>
      </c>
      <c r="G7" s="19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21" t="s">
        <v>175</v>
      </c>
      <c r="C9" s="22" t="s">
        <v>46</v>
      </c>
      <c r="D9" s="2">
        <f>F9/12</f>
        <v>97016.5</v>
      </c>
      <c r="E9" s="21">
        <f t="shared" ref="E9:E14" si="0">F9+G9</f>
        <v>1480498</v>
      </c>
      <c r="F9" s="21">
        <v>1164198</v>
      </c>
      <c r="G9" s="21">
        <v>316300</v>
      </c>
      <c r="H9" s="30">
        <f>D9/D15</f>
        <v>3.2284463235305676</v>
      </c>
      <c r="I9" s="18"/>
      <c r="J9" s="18"/>
    </row>
    <row r="10" spans="1:10" ht="30" x14ac:dyDescent="0.25">
      <c r="A10" s="20">
        <v>2</v>
      </c>
      <c r="B10" s="21" t="s">
        <v>176</v>
      </c>
      <c r="C10" s="22" t="s">
        <v>319</v>
      </c>
      <c r="D10" s="2">
        <f t="shared" ref="D10:D14" si="1">F10/12</f>
        <v>34570.5</v>
      </c>
      <c r="E10" s="21">
        <f t="shared" si="0"/>
        <v>461599</v>
      </c>
      <c r="F10" s="21">
        <v>414846</v>
      </c>
      <c r="G10" s="21">
        <v>46753</v>
      </c>
      <c r="H10" s="30">
        <f>D10/D15</f>
        <v>1.1504125960801872</v>
      </c>
      <c r="I10" s="18"/>
      <c r="J10" s="18"/>
    </row>
    <row r="11" spans="1:10" ht="30" x14ac:dyDescent="0.25">
      <c r="A11" s="20">
        <v>3</v>
      </c>
      <c r="B11" s="21" t="s">
        <v>177</v>
      </c>
      <c r="C11" s="22" t="s">
        <v>320</v>
      </c>
      <c r="D11" s="2">
        <f t="shared" si="1"/>
        <v>68444.75</v>
      </c>
      <c r="E11" s="21">
        <f t="shared" si="0"/>
        <v>894820</v>
      </c>
      <c r="F11" s="21">
        <v>821337</v>
      </c>
      <c r="G11" s="21">
        <v>73483</v>
      </c>
      <c r="H11" s="30">
        <f>D11/D15</f>
        <v>2.2776558781492717</v>
      </c>
      <c r="I11" s="18"/>
      <c r="J11" s="18"/>
    </row>
    <row r="12" spans="1:10" ht="30" x14ac:dyDescent="0.25">
      <c r="A12" s="20">
        <v>4</v>
      </c>
      <c r="B12" s="21" t="s">
        <v>178</v>
      </c>
      <c r="C12" s="22" t="s">
        <v>48</v>
      </c>
      <c r="D12" s="2">
        <f t="shared" si="1"/>
        <v>69915.916666666672</v>
      </c>
      <c r="E12" s="21">
        <f t="shared" si="0"/>
        <v>978653</v>
      </c>
      <c r="F12" s="21">
        <v>838991</v>
      </c>
      <c r="G12" s="21">
        <v>139662</v>
      </c>
      <c r="H12" s="30">
        <f>D12/D15</f>
        <v>2.3266123197473578</v>
      </c>
      <c r="I12" s="18"/>
      <c r="J12" s="18"/>
    </row>
    <row r="13" spans="1:10" ht="30" x14ac:dyDescent="0.25">
      <c r="A13" s="20">
        <v>5</v>
      </c>
      <c r="B13" s="21" t="s">
        <v>179</v>
      </c>
      <c r="C13" s="22" t="s">
        <v>321</v>
      </c>
      <c r="D13" s="2">
        <f t="shared" si="1"/>
        <v>77307.166666666672</v>
      </c>
      <c r="E13" s="21">
        <f t="shared" si="0"/>
        <v>1054145</v>
      </c>
      <c r="F13" s="21">
        <v>927686</v>
      </c>
      <c r="G13" s="21">
        <v>126459</v>
      </c>
      <c r="H13" s="30">
        <f>D13/D15</f>
        <v>2.5725730984684549</v>
      </c>
      <c r="I13" s="18"/>
      <c r="J13" s="18"/>
    </row>
    <row r="14" spans="1:10" x14ac:dyDescent="0.25">
      <c r="A14" s="20">
        <v>6</v>
      </c>
      <c r="B14" s="21" t="s">
        <v>180</v>
      </c>
      <c r="C14" s="22" t="s">
        <v>17</v>
      </c>
      <c r="D14" s="2">
        <f t="shared" si="1"/>
        <v>73389.25</v>
      </c>
      <c r="E14" s="21">
        <f t="shared" si="0"/>
        <v>991005</v>
      </c>
      <c r="F14" s="21">
        <v>880671</v>
      </c>
      <c r="G14" s="21">
        <v>110334</v>
      </c>
      <c r="H14" s="30">
        <f>D14/D15</f>
        <v>2.4421954445807228</v>
      </c>
      <c r="I14" s="18"/>
      <c r="J14" s="18"/>
    </row>
    <row r="15" spans="1:10" x14ac:dyDescent="0.25">
      <c r="A15" s="22"/>
      <c r="B15" s="106" t="s">
        <v>18</v>
      </c>
      <c r="C15" s="107"/>
      <c r="D15" s="2">
        <f>F15/12/321</f>
        <v>30050.522845275183</v>
      </c>
      <c r="E15" s="21">
        <v>127869377</v>
      </c>
      <c r="F15" s="21">
        <v>115754614</v>
      </c>
      <c r="G15" s="21">
        <v>12114763</v>
      </c>
      <c r="H15" s="20"/>
      <c r="I15" s="18"/>
      <c r="J15" s="18"/>
    </row>
    <row r="16" spans="1:10" x14ac:dyDescent="0.25">
      <c r="A16" s="18"/>
      <c r="B16" s="18"/>
      <c r="C16" s="18"/>
      <c r="D16" s="18"/>
      <c r="E16" s="24"/>
      <c r="F16" s="24"/>
      <c r="G16" s="24"/>
      <c r="H16" s="18"/>
      <c r="I16" s="18"/>
      <c r="J16" s="18"/>
    </row>
    <row r="17" spans="1:10" x14ac:dyDescent="0.25">
      <c r="A17" s="108"/>
      <c r="B17" s="108"/>
      <c r="C17" s="108"/>
      <c r="D17" s="108"/>
      <c r="E17" s="108"/>
      <c r="F17" s="108"/>
      <c r="G17" s="108"/>
      <c r="H17" s="108"/>
      <c r="I17" s="108"/>
      <c r="J17" s="108"/>
    </row>
    <row r="18" spans="1:10" x14ac:dyDescent="0.25">
      <c r="A18" s="18"/>
      <c r="B18" s="18"/>
      <c r="C18" s="18"/>
      <c r="D18" s="18"/>
      <c r="E18" s="18"/>
      <c r="F18" s="24"/>
      <c r="G18" s="24"/>
      <c r="H18" s="18"/>
      <c r="I18" s="18"/>
      <c r="J18" s="18"/>
    </row>
    <row r="19" spans="1:10" x14ac:dyDescent="0.25">
      <c r="A19" s="18"/>
      <c r="B19" s="18"/>
      <c r="C19" s="18"/>
      <c r="D19" s="18"/>
      <c r="E19" s="24"/>
      <c r="F19" s="18"/>
      <c r="G19" s="24"/>
      <c r="H19" s="18"/>
      <c r="I19" s="18"/>
      <c r="J19" s="1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 t="s">
        <v>27</v>
      </c>
      <c r="C21" s="25"/>
      <c r="D21" s="26"/>
      <c r="E21" s="27" t="s">
        <v>181</v>
      </c>
      <c r="F21" s="25"/>
      <c r="G21" s="24"/>
      <c r="H21" s="18"/>
      <c r="I21" s="18"/>
      <c r="J21" s="18"/>
    </row>
    <row r="22" spans="1:10" x14ac:dyDescent="0.25">
      <c r="A22" s="18"/>
      <c r="B22" s="18"/>
      <c r="C22" s="28" t="s">
        <v>22</v>
      </c>
      <c r="D22" s="18"/>
      <c r="E22" s="99" t="s">
        <v>23</v>
      </c>
      <c r="F22" s="99"/>
      <c r="G22" s="24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8"/>
      <c r="B24" s="18" t="s">
        <v>17</v>
      </c>
      <c r="C24" s="25"/>
      <c r="D24" s="26"/>
      <c r="E24" s="27" t="s">
        <v>182</v>
      </c>
      <c r="F24" s="25"/>
      <c r="G24" s="18"/>
      <c r="H24" s="18"/>
      <c r="I24" s="18"/>
      <c r="J24" s="18"/>
    </row>
    <row r="25" spans="1:10" x14ac:dyDescent="0.25">
      <c r="A25" s="18"/>
      <c r="B25" s="18"/>
      <c r="C25" s="28" t="s">
        <v>22</v>
      </c>
      <c r="D25" s="18"/>
      <c r="E25" s="99" t="s">
        <v>23</v>
      </c>
      <c r="F25" s="99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5">
      <c r="B27" s="17" t="s">
        <v>183</v>
      </c>
    </row>
  </sheetData>
  <mergeCells count="14">
    <mergeCell ref="B15:C15"/>
    <mergeCell ref="A17:J17"/>
    <mergeCell ref="E22:F22"/>
    <mergeCell ref="E25:F25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H18" sqref="H18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184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19" t="s">
        <v>10</v>
      </c>
      <c r="G7" s="19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ht="30" x14ac:dyDescent="0.25">
      <c r="A9" s="20">
        <v>1</v>
      </c>
      <c r="B9" s="21" t="s">
        <v>185</v>
      </c>
      <c r="C9" s="22" t="s">
        <v>13</v>
      </c>
      <c r="D9" s="21">
        <f>F9/12</f>
        <v>147383.255</v>
      </c>
      <c r="E9" s="21">
        <f>+F9+G9</f>
        <v>1898323.06</v>
      </c>
      <c r="F9" s="21">
        <v>1768599.06</v>
      </c>
      <c r="G9" s="21">
        <v>129724</v>
      </c>
      <c r="H9" s="30">
        <f>D9/D14</f>
        <v>4.0888245458646244</v>
      </c>
      <c r="I9" s="18"/>
      <c r="J9" s="18"/>
    </row>
    <row r="10" spans="1:10" ht="63" x14ac:dyDescent="0.25">
      <c r="A10" s="20">
        <v>2</v>
      </c>
      <c r="B10" s="16" t="s">
        <v>186</v>
      </c>
      <c r="C10" s="16" t="s">
        <v>80</v>
      </c>
      <c r="D10" s="21">
        <f t="shared" ref="D10:D13" si="0">F10/12</f>
        <v>112641.40000000001</v>
      </c>
      <c r="E10" s="21">
        <f t="shared" ref="E10:E14" si="1">+F10+G10</f>
        <v>1403601.24</v>
      </c>
      <c r="F10" s="21">
        <v>1351696.8</v>
      </c>
      <c r="G10" s="21">
        <v>51904.44</v>
      </c>
      <c r="H10" s="30">
        <f>D10/D14</f>
        <v>3.1249881216190771</v>
      </c>
      <c r="I10" s="18"/>
      <c r="J10" s="18"/>
    </row>
    <row r="11" spans="1:10" ht="31.5" x14ac:dyDescent="0.25">
      <c r="A11" s="20">
        <v>3</v>
      </c>
      <c r="B11" s="16" t="s">
        <v>187</v>
      </c>
      <c r="C11" s="16" t="s">
        <v>71</v>
      </c>
      <c r="D11" s="21">
        <f t="shared" si="0"/>
        <v>79361.964999999997</v>
      </c>
      <c r="E11" s="21">
        <f t="shared" si="1"/>
        <v>1146005.6599999999</v>
      </c>
      <c r="F11" s="21">
        <v>952343.58</v>
      </c>
      <c r="G11" s="21">
        <v>193662.07999999999</v>
      </c>
      <c r="H11" s="30">
        <f>D11/D14</f>
        <v>2.2017233267106846</v>
      </c>
      <c r="I11" s="18"/>
      <c r="J11" s="18"/>
    </row>
    <row r="12" spans="1:10" ht="47.25" x14ac:dyDescent="0.25">
      <c r="A12" s="20">
        <v>4</v>
      </c>
      <c r="B12" s="16" t="s">
        <v>188</v>
      </c>
      <c r="C12" s="16" t="s">
        <v>72</v>
      </c>
      <c r="D12" s="21">
        <f t="shared" si="0"/>
        <v>76429.32166666667</v>
      </c>
      <c r="E12" s="21">
        <f t="shared" si="1"/>
        <v>917151.86</v>
      </c>
      <c r="F12" s="21">
        <v>917151.86</v>
      </c>
      <c r="G12" s="21">
        <v>0</v>
      </c>
      <c r="H12" s="30">
        <f>D12/D14</f>
        <v>2.1203635817003064</v>
      </c>
      <c r="I12" s="18"/>
      <c r="J12" s="18"/>
    </row>
    <row r="13" spans="1:10" ht="15.75" x14ac:dyDescent="0.25">
      <c r="A13" s="20">
        <v>5</v>
      </c>
      <c r="B13" s="16" t="s">
        <v>189</v>
      </c>
      <c r="C13" s="22" t="s">
        <v>17</v>
      </c>
      <c r="D13" s="21">
        <f t="shared" si="0"/>
        <v>106047.1425</v>
      </c>
      <c r="E13" s="21">
        <f t="shared" si="1"/>
        <v>1272565.71</v>
      </c>
      <c r="F13" s="21">
        <v>1272565.71</v>
      </c>
      <c r="G13" s="21">
        <v>0</v>
      </c>
      <c r="H13" s="30">
        <f>D13/D14</f>
        <v>2.9420449376885016</v>
      </c>
      <c r="I13" s="18"/>
      <c r="J13" s="18"/>
    </row>
    <row r="14" spans="1:10" x14ac:dyDescent="0.25">
      <c r="A14" s="22"/>
      <c r="B14" s="106" t="s">
        <v>18</v>
      </c>
      <c r="C14" s="107"/>
      <c r="D14" s="21">
        <f>F14/12/305.4</f>
        <v>36045.385011460377</v>
      </c>
      <c r="E14" s="21">
        <f t="shared" si="1"/>
        <v>134644300.38</v>
      </c>
      <c r="F14" s="21">
        <v>132099126.98999999</v>
      </c>
      <c r="G14" s="21">
        <v>2545173.39</v>
      </c>
      <c r="H14" s="20"/>
      <c r="I14" s="18"/>
      <c r="J14" s="18"/>
    </row>
    <row r="15" spans="1:10" x14ac:dyDescent="0.25">
      <c r="A15" s="18"/>
      <c r="B15" s="18"/>
      <c r="C15" s="18"/>
      <c r="D15" s="18"/>
      <c r="E15" s="24"/>
      <c r="F15" s="24"/>
      <c r="G15" s="24"/>
      <c r="H15" s="18"/>
      <c r="I15" s="18"/>
      <c r="J15" s="18"/>
    </row>
    <row r="16" spans="1:10" x14ac:dyDescent="0.25">
      <c r="A16" s="108" t="s">
        <v>19</v>
      </c>
      <c r="B16" s="108"/>
      <c r="C16" s="108"/>
      <c r="D16" s="108"/>
      <c r="E16" s="108"/>
      <c r="F16" s="108"/>
      <c r="G16" s="108"/>
      <c r="H16" s="108"/>
      <c r="I16" s="108"/>
      <c r="J16" s="108"/>
    </row>
    <row r="17" spans="1:1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18"/>
      <c r="B20" s="18" t="s">
        <v>20</v>
      </c>
      <c r="C20" s="25"/>
      <c r="D20" s="26"/>
      <c r="E20" s="101" t="s">
        <v>185</v>
      </c>
      <c r="F20" s="129"/>
      <c r="G20" s="18"/>
      <c r="H20" s="18"/>
      <c r="I20" s="18"/>
      <c r="J20" s="18"/>
    </row>
    <row r="21" spans="1:10" x14ac:dyDescent="0.25">
      <c r="A21" s="18"/>
      <c r="B21" s="18"/>
      <c r="C21" s="28" t="s">
        <v>22</v>
      </c>
      <c r="D21" s="18"/>
      <c r="E21" s="99" t="s">
        <v>23</v>
      </c>
      <c r="F21" s="99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 t="s">
        <v>17</v>
      </c>
      <c r="C23" s="25"/>
      <c r="D23" s="26"/>
      <c r="E23" s="101" t="s">
        <v>189</v>
      </c>
      <c r="F23" s="129"/>
      <c r="G23" s="18"/>
      <c r="H23" s="18"/>
      <c r="I23" s="18"/>
      <c r="J23" s="18"/>
    </row>
    <row r="24" spans="1:10" x14ac:dyDescent="0.25">
      <c r="A24" s="18"/>
      <c r="B24" s="18"/>
      <c r="C24" s="28" t="s">
        <v>22</v>
      </c>
      <c r="D24" s="18"/>
      <c r="E24" s="99" t="s">
        <v>23</v>
      </c>
      <c r="F24" s="99"/>
      <c r="G24" s="18"/>
      <c r="H24" s="18"/>
      <c r="I24" s="18"/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</sheetData>
  <mergeCells count="16">
    <mergeCell ref="E24:F24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4:C14"/>
    <mergeCell ref="A16:J16"/>
    <mergeCell ref="E20:F20"/>
    <mergeCell ref="E21:F21"/>
    <mergeCell ref="E23:F2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B14" sqref="B14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190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19" t="s">
        <v>10</v>
      </c>
      <c r="G7" s="19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21" t="s">
        <v>355</v>
      </c>
      <c r="C9" s="22" t="s">
        <v>46</v>
      </c>
      <c r="D9" s="21">
        <v>126605.36</v>
      </c>
      <c r="E9" s="21">
        <v>1519264.32</v>
      </c>
      <c r="F9" s="21">
        <v>1392164.32</v>
      </c>
      <c r="G9" s="21">
        <v>127100</v>
      </c>
      <c r="H9" s="23">
        <v>3.55</v>
      </c>
      <c r="I9" s="18"/>
      <c r="J9" s="18"/>
    </row>
    <row r="10" spans="1:10" ht="30" x14ac:dyDescent="0.25">
      <c r="A10" s="20">
        <v>2</v>
      </c>
      <c r="B10" s="21" t="s">
        <v>356</v>
      </c>
      <c r="C10" s="22" t="s">
        <v>71</v>
      </c>
      <c r="D10" s="21">
        <v>117429.91</v>
      </c>
      <c r="E10" s="21">
        <v>1409158.88</v>
      </c>
      <c r="F10" s="21">
        <v>1409158.88</v>
      </c>
      <c r="G10" s="21"/>
      <c r="H10" s="23">
        <v>3.29</v>
      </c>
      <c r="I10" s="18"/>
      <c r="J10" s="18"/>
    </row>
    <row r="11" spans="1:10" ht="30" x14ac:dyDescent="0.25">
      <c r="A11" s="20">
        <v>3</v>
      </c>
      <c r="B11" s="21" t="s">
        <v>357</v>
      </c>
      <c r="C11" s="22" t="s">
        <v>73</v>
      </c>
      <c r="D11" s="21">
        <v>87598.06</v>
      </c>
      <c r="E11" s="21">
        <v>1051176.72</v>
      </c>
      <c r="F11" s="21">
        <v>1051176.72</v>
      </c>
      <c r="G11" s="21"/>
      <c r="H11" s="23">
        <v>2.4500000000000002</v>
      </c>
      <c r="I11" s="18"/>
      <c r="J11" s="18"/>
    </row>
    <row r="12" spans="1:10" ht="30" x14ac:dyDescent="0.25">
      <c r="A12" s="20">
        <v>4</v>
      </c>
      <c r="B12" s="21" t="s">
        <v>358</v>
      </c>
      <c r="C12" s="22" t="s">
        <v>168</v>
      </c>
      <c r="D12" s="21">
        <v>73405.88</v>
      </c>
      <c r="E12" s="21">
        <v>880870.54</v>
      </c>
      <c r="F12" s="21">
        <v>880870.54</v>
      </c>
      <c r="G12" s="21"/>
      <c r="H12" s="23">
        <v>2.0499999999999998</v>
      </c>
      <c r="I12" s="18"/>
      <c r="J12" s="18"/>
    </row>
    <row r="13" spans="1:10" ht="30" x14ac:dyDescent="0.25">
      <c r="A13" s="20">
        <v>5</v>
      </c>
      <c r="B13" s="21" t="s">
        <v>362</v>
      </c>
      <c r="C13" s="22" t="s">
        <v>192</v>
      </c>
      <c r="D13" s="21">
        <v>71249.740000000005</v>
      </c>
      <c r="E13" s="21">
        <v>427498.42</v>
      </c>
      <c r="F13" s="21">
        <v>427498.42</v>
      </c>
      <c r="G13" s="21"/>
      <c r="H13" s="23">
        <v>1.99</v>
      </c>
      <c r="I13" s="18"/>
      <c r="J13" s="18"/>
    </row>
    <row r="14" spans="1:10" ht="30" x14ac:dyDescent="0.25">
      <c r="A14" s="20">
        <v>6</v>
      </c>
      <c r="B14" s="21" t="s">
        <v>359</v>
      </c>
      <c r="C14" s="22" t="s">
        <v>193</v>
      </c>
      <c r="D14" s="21">
        <v>74647.990000000005</v>
      </c>
      <c r="E14" s="21">
        <v>447887.92</v>
      </c>
      <c r="F14" s="21">
        <v>447887.92</v>
      </c>
      <c r="G14" s="21"/>
      <c r="H14" s="23">
        <v>2.09</v>
      </c>
      <c r="I14" s="18"/>
      <c r="J14" s="18"/>
    </row>
    <row r="15" spans="1:10" ht="30" x14ac:dyDescent="0.25">
      <c r="A15" s="20">
        <v>7</v>
      </c>
      <c r="B15" s="21" t="s">
        <v>360</v>
      </c>
      <c r="C15" s="22" t="s">
        <v>194</v>
      </c>
      <c r="D15" s="21">
        <v>73749.27</v>
      </c>
      <c r="E15" s="21">
        <v>884991.26</v>
      </c>
      <c r="F15" s="21">
        <v>884991.26</v>
      </c>
      <c r="G15" s="21"/>
      <c r="H15" s="23">
        <v>2.06</v>
      </c>
      <c r="I15" s="18"/>
      <c r="J15" s="18"/>
    </row>
    <row r="16" spans="1:10" x14ac:dyDescent="0.25">
      <c r="A16" s="20">
        <v>8</v>
      </c>
      <c r="B16" s="21" t="s">
        <v>361</v>
      </c>
      <c r="C16" s="22" t="s">
        <v>17</v>
      </c>
      <c r="D16" s="21">
        <v>89237.35</v>
      </c>
      <c r="E16" s="21">
        <v>1070848.27</v>
      </c>
      <c r="F16" s="21">
        <v>1070848.27</v>
      </c>
      <c r="G16" s="21"/>
      <c r="H16" s="23">
        <v>2.5</v>
      </c>
      <c r="I16" s="18"/>
      <c r="J16" s="18"/>
    </row>
    <row r="17" spans="1:10" x14ac:dyDescent="0.25">
      <c r="A17" s="22"/>
      <c r="B17" s="106" t="s">
        <v>18</v>
      </c>
      <c r="C17" s="107"/>
      <c r="D17" s="21">
        <v>35670.99</v>
      </c>
      <c r="E17" s="21">
        <v>293255398.27999997</v>
      </c>
      <c r="F17" s="21">
        <v>293215598.27999997</v>
      </c>
      <c r="G17" s="21">
        <v>39800</v>
      </c>
      <c r="H17" s="20"/>
      <c r="I17" s="18"/>
      <c r="J17" s="18"/>
    </row>
    <row r="18" spans="1:10" x14ac:dyDescent="0.25">
      <c r="A18" s="18"/>
      <c r="B18" s="18"/>
      <c r="C18" s="18"/>
      <c r="D18" s="18"/>
      <c r="E18" s="24"/>
      <c r="F18" s="24"/>
      <c r="G18" s="24"/>
      <c r="H18" s="18"/>
      <c r="I18" s="18"/>
      <c r="J18" s="18"/>
    </row>
    <row r="19" spans="1:10" x14ac:dyDescent="0.25">
      <c r="A19" s="108" t="s">
        <v>19</v>
      </c>
      <c r="B19" s="108"/>
      <c r="C19" s="108"/>
      <c r="D19" s="108"/>
      <c r="E19" s="108"/>
      <c r="F19" s="108"/>
      <c r="G19" s="108"/>
      <c r="H19" s="108"/>
      <c r="I19" s="108"/>
      <c r="J19" s="10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 t="s">
        <v>20</v>
      </c>
      <c r="C23" s="25" t="s">
        <v>191</v>
      </c>
      <c r="D23" s="26"/>
      <c r="E23" s="27"/>
      <c r="F23" s="25"/>
      <c r="G23" s="18"/>
      <c r="H23" s="18"/>
      <c r="I23" s="18"/>
      <c r="J23" s="18"/>
    </row>
    <row r="24" spans="1:10" x14ac:dyDescent="0.25">
      <c r="A24" s="18"/>
      <c r="B24" s="18"/>
      <c r="C24" s="28" t="s">
        <v>22</v>
      </c>
      <c r="D24" s="18"/>
      <c r="E24" s="99" t="s">
        <v>23</v>
      </c>
      <c r="F24" s="99"/>
      <c r="G24" s="18"/>
      <c r="H24" s="18"/>
      <c r="I24" s="18"/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 x14ac:dyDescent="0.25">
      <c r="A26" s="18"/>
      <c r="B26" s="18" t="s">
        <v>17</v>
      </c>
      <c r="C26" s="25" t="s">
        <v>195</v>
      </c>
      <c r="D26" s="26"/>
      <c r="E26" s="27"/>
      <c r="F26" s="25"/>
      <c r="G26" s="18"/>
      <c r="H26" s="18"/>
      <c r="I26" s="18"/>
      <c r="J26" s="18"/>
    </row>
    <row r="27" spans="1:10" x14ac:dyDescent="0.25">
      <c r="A27" s="18"/>
      <c r="B27" s="18"/>
      <c r="C27" s="28" t="s">
        <v>22</v>
      </c>
      <c r="D27" s="18"/>
      <c r="E27" s="99" t="s">
        <v>23</v>
      </c>
      <c r="F27" s="99"/>
      <c r="G27" s="18"/>
      <c r="H27" s="18"/>
      <c r="I27" s="18"/>
      <c r="J27" s="18"/>
    </row>
    <row r="28" spans="1:10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</row>
  </sheetData>
  <mergeCells count="14">
    <mergeCell ref="B17:C17"/>
    <mergeCell ref="A19:J19"/>
    <mergeCell ref="E24:F24"/>
    <mergeCell ref="E27:F27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F44" sqref="F44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customHeight="1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196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92" t="s">
        <v>10</v>
      </c>
      <c r="G7" s="92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21" t="s">
        <v>323</v>
      </c>
      <c r="C9" s="22" t="s">
        <v>27</v>
      </c>
      <c r="D9" s="21">
        <f>F9/12</f>
        <v>106796.16666666667</v>
      </c>
      <c r="E9" s="21">
        <v>1392254</v>
      </c>
      <c r="F9" s="21">
        <f>E9-G9</f>
        <v>1281554</v>
      </c>
      <c r="G9" s="21">
        <v>110700</v>
      </c>
      <c r="H9" s="23">
        <f>D9/D15</f>
        <v>3.0196771449643145</v>
      </c>
      <c r="I9" s="18"/>
      <c r="J9" s="18"/>
    </row>
    <row r="10" spans="1:10" ht="30" x14ac:dyDescent="0.25">
      <c r="A10" s="20">
        <v>2</v>
      </c>
      <c r="B10" s="21" t="s">
        <v>324</v>
      </c>
      <c r="C10" s="22" t="s">
        <v>71</v>
      </c>
      <c r="D10" s="21">
        <f t="shared" ref="D10:D14" si="0">F10/12</f>
        <v>87261.833333333328</v>
      </c>
      <c r="E10" s="21">
        <v>1070295</v>
      </c>
      <c r="F10" s="21">
        <f t="shared" ref="F10:F15" si="1">E10-G10</f>
        <v>1047142</v>
      </c>
      <c r="G10" s="21">
        <v>23153</v>
      </c>
      <c r="H10" s="23">
        <f>D10/D15</f>
        <v>2.4673410288854174</v>
      </c>
      <c r="I10" s="18"/>
      <c r="J10" s="18"/>
    </row>
    <row r="11" spans="1:10" ht="45" x14ac:dyDescent="0.25">
      <c r="A11" s="20">
        <v>3</v>
      </c>
      <c r="B11" s="21" t="s">
        <v>325</v>
      </c>
      <c r="C11" s="22" t="s">
        <v>50</v>
      </c>
      <c r="D11" s="21">
        <f t="shared" si="0"/>
        <v>78268.666666666672</v>
      </c>
      <c r="E11" s="21">
        <v>939224</v>
      </c>
      <c r="F11" s="21">
        <f t="shared" si="1"/>
        <v>939224</v>
      </c>
      <c r="G11" s="21"/>
      <c r="H11" s="23">
        <f>D11/D15</f>
        <v>2.2130579334167453</v>
      </c>
      <c r="I11" s="18"/>
      <c r="J11" s="18"/>
    </row>
    <row r="12" spans="1:10" ht="30" x14ac:dyDescent="0.25">
      <c r="A12" s="20">
        <v>4</v>
      </c>
      <c r="B12" s="21" t="s">
        <v>326</v>
      </c>
      <c r="C12" s="22" t="s">
        <v>55</v>
      </c>
      <c r="D12" s="21">
        <f t="shared" si="0"/>
        <v>76554.333333333328</v>
      </c>
      <c r="E12" s="21">
        <v>933818</v>
      </c>
      <c r="F12" s="21">
        <f t="shared" si="1"/>
        <v>918652</v>
      </c>
      <c r="G12" s="21">
        <v>15166</v>
      </c>
      <c r="H12" s="23">
        <f>D12/D15</f>
        <v>2.1645849090836258</v>
      </c>
      <c r="I12" s="18"/>
      <c r="J12" s="18"/>
    </row>
    <row r="13" spans="1:10" x14ac:dyDescent="0.25">
      <c r="A13" s="20">
        <v>5</v>
      </c>
      <c r="B13" s="21"/>
      <c r="C13" s="22" t="s">
        <v>15</v>
      </c>
      <c r="D13" s="21">
        <f t="shared" si="0"/>
        <v>0</v>
      </c>
      <c r="E13" s="21"/>
      <c r="F13" s="21">
        <f t="shared" si="1"/>
        <v>0</v>
      </c>
      <c r="G13" s="21"/>
      <c r="H13" s="23"/>
      <c r="I13" s="18"/>
      <c r="J13" s="18"/>
    </row>
    <row r="14" spans="1:10" x14ac:dyDescent="0.25">
      <c r="A14" s="20">
        <v>6</v>
      </c>
      <c r="B14" s="21" t="s">
        <v>327</v>
      </c>
      <c r="C14" s="22" t="s">
        <v>17</v>
      </c>
      <c r="D14" s="21">
        <f t="shared" si="0"/>
        <v>80198.916666666672</v>
      </c>
      <c r="E14" s="21">
        <v>977823</v>
      </c>
      <c r="F14" s="21">
        <f t="shared" si="1"/>
        <v>962387</v>
      </c>
      <c r="G14" s="21">
        <v>15436</v>
      </c>
      <c r="H14" s="23">
        <f>D14/D15</f>
        <v>2.2676360329028444</v>
      </c>
      <c r="I14" s="18"/>
      <c r="J14" s="18"/>
    </row>
    <row r="15" spans="1:10" x14ac:dyDescent="0.25">
      <c r="A15" s="22"/>
      <c r="B15" s="106" t="s">
        <v>18</v>
      </c>
      <c r="C15" s="107"/>
      <c r="D15" s="21">
        <v>35366.75</v>
      </c>
      <c r="E15" s="21">
        <v>151482747</v>
      </c>
      <c r="F15" s="21">
        <f t="shared" si="1"/>
        <v>150322836</v>
      </c>
      <c r="G15" s="21">
        <v>1159911</v>
      </c>
      <c r="H15" s="20"/>
      <c r="I15" s="18"/>
      <c r="J15" s="18"/>
    </row>
    <row r="16" spans="1:10" x14ac:dyDescent="0.25">
      <c r="A16" s="18"/>
      <c r="B16" s="18"/>
      <c r="C16" s="18"/>
      <c r="D16" s="18"/>
      <c r="E16" s="24"/>
      <c r="F16" s="24"/>
      <c r="G16" s="24"/>
      <c r="H16" s="18"/>
      <c r="I16" s="18"/>
      <c r="J16" s="18"/>
    </row>
    <row r="17" spans="1:10" x14ac:dyDescent="0.25">
      <c r="A17" s="108" t="s">
        <v>19</v>
      </c>
      <c r="B17" s="108"/>
      <c r="C17" s="108"/>
      <c r="D17" s="108"/>
      <c r="E17" s="108"/>
      <c r="F17" s="108"/>
      <c r="G17" s="108"/>
      <c r="H17" s="108"/>
      <c r="I17" s="108"/>
      <c r="J17" s="10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 t="s">
        <v>20</v>
      </c>
      <c r="C21" s="25"/>
      <c r="D21" s="26"/>
      <c r="E21" s="91" t="s">
        <v>197</v>
      </c>
      <c r="F21" s="25"/>
      <c r="G21" s="18"/>
      <c r="H21" s="18"/>
      <c r="I21" s="18"/>
      <c r="J21" s="18"/>
    </row>
    <row r="22" spans="1:10" x14ac:dyDescent="0.25">
      <c r="A22" s="18"/>
      <c r="B22" s="18"/>
      <c r="C22" s="28" t="s">
        <v>22</v>
      </c>
      <c r="D22" s="18"/>
      <c r="E22" s="99" t="s">
        <v>23</v>
      </c>
      <c r="F22" s="99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8"/>
      <c r="B24" s="18" t="s">
        <v>17</v>
      </c>
      <c r="C24" s="25"/>
      <c r="D24" s="26"/>
      <c r="E24" s="91" t="s">
        <v>198</v>
      </c>
      <c r="F24" s="25"/>
      <c r="G24" s="18"/>
      <c r="H24" s="18"/>
      <c r="I24" s="18"/>
      <c r="J24" s="18"/>
    </row>
    <row r="25" spans="1:10" x14ac:dyDescent="0.25">
      <c r="A25" s="18"/>
      <c r="B25" s="18"/>
      <c r="C25" s="28" t="s">
        <v>22</v>
      </c>
      <c r="D25" s="18"/>
      <c r="E25" s="99" t="s">
        <v>23</v>
      </c>
      <c r="F25" s="99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5">
      <c r="B27" s="17" t="s">
        <v>199</v>
      </c>
    </row>
    <row r="28" spans="1:10" x14ac:dyDescent="0.25">
      <c r="B28" s="17" t="s">
        <v>200</v>
      </c>
    </row>
    <row r="29" spans="1:10" x14ac:dyDescent="0.25">
      <c r="B29" s="18" t="s">
        <v>201</v>
      </c>
    </row>
  </sheetData>
  <mergeCells count="14">
    <mergeCell ref="E22:F22"/>
    <mergeCell ref="E25:F25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5:C15"/>
    <mergeCell ref="A17:J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C34" sqref="C34"/>
    </sheetView>
  </sheetViews>
  <sheetFormatPr defaultRowHeight="15" x14ac:dyDescent="0.25"/>
  <cols>
    <col min="1" max="1" width="9.140625" style="3"/>
    <col min="2" max="2" width="33.5703125" style="3" customWidth="1"/>
    <col min="3" max="3" width="30.28515625" style="3" customWidth="1"/>
    <col min="4" max="4" width="23.42578125" style="3" customWidth="1"/>
    <col min="5" max="5" width="31.28515625" style="3" customWidth="1"/>
    <col min="6" max="6" width="25.28515625" style="3" customWidth="1"/>
    <col min="7" max="7" width="22.5703125" style="3" customWidth="1"/>
    <col min="8" max="8" width="30.5703125" style="3" customWidth="1"/>
    <col min="9" max="16384" width="9.140625" style="3"/>
  </cols>
  <sheetData>
    <row r="1" spans="1:10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4"/>
      <c r="J1" s="4"/>
    </row>
    <row r="2" spans="1:10" x14ac:dyDescent="0.25">
      <c r="A2" s="4"/>
      <c r="B2" s="4"/>
      <c r="C2" s="4"/>
      <c r="D2" s="4"/>
      <c r="E2" s="15" t="s">
        <v>1</v>
      </c>
      <c r="F2" s="4"/>
      <c r="G2" s="4"/>
      <c r="H2" s="4"/>
      <c r="I2" s="4"/>
      <c r="J2" s="4"/>
    </row>
    <row r="3" spans="1:10" x14ac:dyDescent="0.25">
      <c r="A3" s="101" t="s">
        <v>25</v>
      </c>
      <c r="B3" s="101"/>
      <c r="C3" s="101"/>
      <c r="D3" s="101"/>
      <c r="E3" s="101"/>
      <c r="F3" s="101"/>
      <c r="G3" s="101"/>
      <c r="H3" s="101"/>
      <c r="I3" s="4"/>
      <c r="J3" s="4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4"/>
      <c r="J4" s="4"/>
    </row>
    <row r="5" spans="1:10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4"/>
      <c r="J6" s="4"/>
    </row>
    <row r="7" spans="1:10" ht="57" x14ac:dyDescent="0.25">
      <c r="A7" s="103"/>
      <c r="B7" s="104"/>
      <c r="C7" s="104"/>
      <c r="D7" s="104"/>
      <c r="E7" s="104"/>
      <c r="F7" s="5" t="s">
        <v>10</v>
      </c>
      <c r="G7" s="5" t="s">
        <v>11</v>
      </c>
      <c r="H7" s="104"/>
      <c r="I7" s="4"/>
      <c r="J7" s="4"/>
    </row>
    <row r="8" spans="1:10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4"/>
      <c r="J8" s="4"/>
    </row>
    <row r="9" spans="1:10" ht="15.75" x14ac:dyDescent="0.25">
      <c r="A9" s="6">
        <v>1</v>
      </c>
      <c r="B9" s="16" t="s">
        <v>26</v>
      </c>
      <c r="C9" s="16" t="s">
        <v>27</v>
      </c>
      <c r="D9" s="7">
        <f>F9/12</f>
        <v>101449.815</v>
      </c>
      <c r="E9" s="7">
        <v>1582430.03</v>
      </c>
      <c r="F9" s="7">
        <v>1217397.78</v>
      </c>
      <c r="G9" s="7">
        <f>E9-F9</f>
        <v>365032.25</v>
      </c>
      <c r="H9" s="9">
        <v>3.4</v>
      </c>
      <c r="I9" s="4"/>
      <c r="J9" s="4"/>
    </row>
    <row r="10" spans="1:10" ht="47.25" x14ac:dyDescent="0.25">
      <c r="A10" s="6">
        <v>2</v>
      </c>
      <c r="B10" s="16" t="s">
        <v>28</v>
      </c>
      <c r="C10" s="16" t="s">
        <v>29</v>
      </c>
      <c r="D10" s="7">
        <f>F10/12</f>
        <v>127347.83416666667</v>
      </c>
      <c r="E10" s="7">
        <v>1743308.09</v>
      </c>
      <c r="F10" s="7">
        <v>1528174.01</v>
      </c>
      <c r="G10" s="7">
        <f>E10-F10</f>
        <v>215134.08000000007</v>
      </c>
      <c r="H10" s="9">
        <v>4.2</v>
      </c>
      <c r="I10" s="4"/>
      <c r="J10" s="4"/>
    </row>
    <row r="11" spans="1:10" ht="31.5" x14ac:dyDescent="0.25">
      <c r="A11" s="6">
        <v>3</v>
      </c>
      <c r="B11" s="16" t="s">
        <v>30</v>
      </c>
      <c r="C11" s="16" t="s">
        <v>31</v>
      </c>
      <c r="D11" s="7">
        <f>F11/12</f>
        <v>89548.440833333341</v>
      </c>
      <c r="E11" s="7">
        <v>1175629.1100000001</v>
      </c>
      <c r="F11" s="7">
        <v>1074581.29</v>
      </c>
      <c r="G11" s="7">
        <f>E11-F11</f>
        <v>101047.82000000007</v>
      </c>
      <c r="H11" s="9">
        <v>3</v>
      </c>
      <c r="I11" s="4"/>
      <c r="J11" s="4"/>
    </row>
    <row r="12" spans="1:10" ht="15.75" x14ac:dyDescent="0.25">
      <c r="A12" s="6">
        <v>4</v>
      </c>
      <c r="B12" s="16" t="s">
        <v>32</v>
      </c>
      <c r="C12" s="16" t="s">
        <v>17</v>
      </c>
      <c r="D12" s="7">
        <f>F12/12</f>
        <v>97017.815833333341</v>
      </c>
      <c r="E12" s="7">
        <v>1164213.79</v>
      </c>
      <c r="F12" s="7">
        <v>1164213.79</v>
      </c>
      <c r="G12" s="7">
        <f>E12-F12</f>
        <v>0</v>
      </c>
      <c r="H12" s="9">
        <v>3.2</v>
      </c>
      <c r="I12" s="4"/>
      <c r="J12" s="4"/>
    </row>
    <row r="13" spans="1:10" x14ac:dyDescent="0.25">
      <c r="A13" s="8"/>
      <c r="B13" s="106" t="s">
        <v>18</v>
      </c>
      <c r="C13" s="107"/>
      <c r="D13" s="7">
        <f>F13/12/263.4</f>
        <v>30042.893855985829</v>
      </c>
      <c r="E13" s="7">
        <v>107619031.27</v>
      </c>
      <c r="F13" s="7">
        <f>E13-G13</f>
        <v>94959578.899999991</v>
      </c>
      <c r="G13" s="7">
        <v>12659452.369999999</v>
      </c>
      <c r="H13" s="6"/>
      <c r="I13" s="4"/>
      <c r="J13" s="4"/>
    </row>
    <row r="14" spans="1:10" x14ac:dyDescent="0.25">
      <c r="A14" s="4"/>
      <c r="B14" s="4"/>
      <c r="C14" s="4"/>
      <c r="D14" s="4"/>
      <c r="E14" s="10"/>
      <c r="F14" s="10"/>
      <c r="G14" s="10"/>
      <c r="H14" s="4"/>
      <c r="I14" s="4"/>
      <c r="J14" s="4"/>
    </row>
    <row r="15" spans="1:10" x14ac:dyDescent="0.25">
      <c r="A15" s="108" t="s">
        <v>19</v>
      </c>
      <c r="B15" s="108"/>
      <c r="C15" s="108"/>
      <c r="D15" s="108"/>
      <c r="E15" s="108"/>
      <c r="F15" s="108"/>
      <c r="G15" s="108"/>
      <c r="H15" s="108"/>
      <c r="I15" s="108"/>
      <c r="J15" s="108"/>
    </row>
    <row r="16" spans="1:10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5">
      <c r="A19" s="4"/>
      <c r="B19" s="4" t="s">
        <v>20</v>
      </c>
      <c r="C19" s="11"/>
      <c r="D19" s="12"/>
      <c r="E19" s="13" t="s">
        <v>33</v>
      </c>
      <c r="F19" s="11"/>
      <c r="G19" s="4"/>
      <c r="H19" s="4"/>
      <c r="I19" s="4"/>
      <c r="J19" s="4"/>
    </row>
    <row r="20" spans="1:10" x14ac:dyDescent="0.25">
      <c r="A20" s="4"/>
      <c r="B20" s="4"/>
      <c r="C20" s="14" t="s">
        <v>22</v>
      </c>
      <c r="D20" s="4"/>
      <c r="E20" s="99" t="s">
        <v>23</v>
      </c>
      <c r="F20" s="99"/>
      <c r="G20" s="4"/>
      <c r="H20" s="4"/>
      <c r="I20" s="4"/>
      <c r="J20" s="4"/>
    </row>
    <row r="21" spans="1:1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5">
      <c r="A22" s="4"/>
      <c r="B22" s="4" t="s">
        <v>17</v>
      </c>
      <c r="C22" s="11"/>
      <c r="D22" s="12"/>
      <c r="E22" s="13" t="s">
        <v>34</v>
      </c>
      <c r="F22" s="11"/>
      <c r="G22" s="4"/>
      <c r="H22" s="4"/>
      <c r="I22" s="4"/>
      <c r="J22" s="4"/>
    </row>
    <row r="23" spans="1:10" x14ac:dyDescent="0.25">
      <c r="A23" s="4"/>
      <c r="B23" s="4"/>
      <c r="C23" s="14" t="s">
        <v>22</v>
      </c>
      <c r="D23" s="4"/>
      <c r="E23" s="99" t="s">
        <v>23</v>
      </c>
      <c r="F23" s="99"/>
      <c r="G23" s="4"/>
      <c r="H23" s="4"/>
      <c r="I23" s="4"/>
      <c r="J23" s="4"/>
    </row>
    <row r="24" spans="1:10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</row>
  </sheetData>
  <mergeCells count="14">
    <mergeCell ref="B13:C13"/>
    <mergeCell ref="A15:J15"/>
    <mergeCell ref="E20:F20"/>
    <mergeCell ref="E23:F23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C27" sqref="C27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customHeight="1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202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98" t="s">
        <v>10</v>
      </c>
      <c r="G7" s="98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21" t="s">
        <v>363</v>
      </c>
      <c r="C9" s="22" t="s">
        <v>46</v>
      </c>
      <c r="D9" s="21">
        <v>81546.350000000006</v>
      </c>
      <c r="E9" s="21">
        <v>1357862.95</v>
      </c>
      <c r="F9" s="21">
        <v>978556.25</v>
      </c>
      <c r="G9" s="21">
        <v>379306.7</v>
      </c>
      <c r="H9" s="23">
        <v>3.3</v>
      </c>
      <c r="I9" s="18"/>
      <c r="J9" s="18"/>
    </row>
    <row r="10" spans="1:10" ht="45" x14ac:dyDescent="0.25">
      <c r="A10" s="20">
        <v>2</v>
      </c>
      <c r="B10" s="21" t="s">
        <v>364</v>
      </c>
      <c r="C10" s="22" t="s">
        <v>80</v>
      </c>
      <c r="D10" s="21">
        <v>72079.08</v>
      </c>
      <c r="E10" s="21">
        <v>585774.64</v>
      </c>
      <c r="F10" s="21">
        <v>360395.42</v>
      </c>
      <c r="G10" s="21">
        <v>225379.22</v>
      </c>
      <c r="H10" s="23">
        <v>2.9</v>
      </c>
      <c r="I10" s="18"/>
      <c r="J10" s="18"/>
    </row>
    <row r="11" spans="1:10" ht="30" x14ac:dyDescent="0.25">
      <c r="A11" s="20">
        <v>3</v>
      </c>
      <c r="B11" s="21" t="s">
        <v>365</v>
      </c>
      <c r="C11" s="22" t="s">
        <v>71</v>
      </c>
      <c r="D11" s="21">
        <v>69300.820000000007</v>
      </c>
      <c r="E11" s="21">
        <v>1091183.45</v>
      </c>
      <c r="F11" s="21">
        <v>831609.89</v>
      </c>
      <c r="G11" s="21">
        <v>259573.56</v>
      </c>
      <c r="H11" s="23">
        <v>2.8</v>
      </c>
      <c r="I11" s="18"/>
      <c r="J11" s="18"/>
    </row>
    <row r="12" spans="1:10" ht="45" x14ac:dyDescent="0.25">
      <c r="A12" s="20">
        <v>4</v>
      </c>
      <c r="B12" s="21" t="s">
        <v>366</v>
      </c>
      <c r="C12" s="22" t="s">
        <v>204</v>
      </c>
      <c r="D12" s="21">
        <v>66334.710000000006</v>
      </c>
      <c r="E12" s="21">
        <v>1041607.96</v>
      </c>
      <c r="F12" s="21">
        <v>796016.5</v>
      </c>
      <c r="G12" s="21">
        <v>245591.46</v>
      </c>
      <c r="H12" s="23">
        <v>2.7</v>
      </c>
      <c r="I12" s="18"/>
      <c r="J12" s="18"/>
    </row>
    <row r="13" spans="1:10" x14ac:dyDescent="0.25">
      <c r="A13" s="20">
        <v>5</v>
      </c>
      <c r="B13" s="21"/>
      <c r="C13" s="22" t="s">
        <v>15</v>
      </c>
      <c r="D13" s="21"/>
      <c r="E13" s="21"/>
      <c r="F13" s="21"/>
      <c r="G13" s="21"/>
      <c r="H13" s="23"/>
      <c r="I13" s="18"/>
      <c r="J13" s="18"/>
    </row>
    <row r="14" spans="1:10" x14ac:dyDescent="0.25">
      <c r="A14" s="20">
        <v>6</v>
      </c>
      <c r="B14" s="21" t="s">
        <v>367</v>
      </c>
      <c r="C14" s="22" t="s">
        <v>17</v>
      </c>
      <c r="D14" s="21">
        <v>66887.039999999994</v>
      </c>
      <c r="E14" s="21">
        <v>926972.45</v>
      </c>
      <c r="F14" s="21">
        <v>802644.43</v>
      </c>
      <c r="G14" s="21">
        <v>124328.02</v>
      </c>
      <c r="H14" s="23">
        <v>2.7</v>
      </c>
      <c r="I14" s="18"/>
      <c r="J14" s="18"/>
    </row>
    <row r="15" spans="1:10" x14ac:dyDescent="0.25">
      <c r="A15" s="22"/>
      <c r="B15" s="106" t="s">
        <v>18</v>
      </c>
      <c r="C15" s="107"/>
      <c r="D15" s="21">
        <v>24667.29</v>
      </c>
      <c r="E15" s="21">
        <v>169466180.24000001</v>
      </c>
      <c r="F15" s="21">
        <v>126069626.78</v>
      </c>
      <c r="G15" s="21">
        <v>43396553.460000001</v>
      </c>
      <c r="H15" s="20"/>
      <c r="I15" s="18"/>
      <c r="J15" s="18"/>
    </row>
    <row r="16" spans="1:10" x14ac:dyDescent="0.25">
      <c r="A16" s="18"/>
      <c r="B16" s="18"/>
      <c r="C16" s="18"/>
      <c r="D16" s="18"/>
      <c r="E16" s="24"/>
      <c r="F16" s="24"/>
      <c r="G16" s="24"/>
      <c r="H16" s="18"/>
      <c r="I16" s="18"/>
      <c r="J16" s="18"/>
    </row>
    <row r="17" spans="1:10" x14ac:dyDescent="0.25">
      <c r="A17" s="108" t="s">
        <v>19</v>
      </c>
      <c r="B17" s="108"/>
      <c r="C17" s="108"/>
      <c r="D17" s="108"/>
      <c r="E17" s="108"/>
      <c r="F17" s="108"/>
      <c r="G17" s="108"/>
      <c r="H17" s="108"/>
      <c r="I17" s="108"/>
      <c r="J17" s="10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 t="s">
        <v>27</v>
      </c>
      <c r="C21" s="25"/>
      <c r="D21" s="26"/>
      <c r="E21" s="97" t="s">
        <v>203</v>
      </c>
      <c r="F21" s="25"/>
      <c r="G21" s="18"/>
      <c r="H21" s="18"/>
      <c r="I21" s="18"/>
      <c r="J21" s="18"/>
    </row>
    <row r="22" spans="1:10" x14ac:dyDescent="0.25">
      <c r="A22" s="18"/>
      <c r="B22" s="18"/>
      <c r="C22" s="28" t="s">
        <v>22</v>
      </c>
      <c r="D22" s="18"/>
      <c r="E22" s="99" t="s">
        <v>23</v>
      </c>
      <c r="F22" s="99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8"/>
      <c r="B24" s="18" t="s">
        <v>17</v>
      </c>
      <c r="C24" s="25"/>
      <c r="D24" s="26"/>
      <c r="E24" s="97" t="s">
        <v>205</v>
      </c>
      <c r="F24" s="25"/>
      <c r="G24" s="18"/>
      <c r="H24" s="18"/>
      <c r="I24" s="18"/>
      <c r="J24" s="18"/>
    </row>
    <row r="25" spans="1:10" x14ac:dyDescent="0.25">
      <c r="A25" s="18"/>
      <c r="B25" s="18"/>
      <c r="C25" s="28" t="s">
        <v>22</v>
      </c>
      <c r="D25" s="18"/>
      <c r="E25" s="99" t="s">
        <v>23</v>
      </c>
      <c r="F25" s="99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</sheetData>
  <mergeCells count="14">
    <mergeCell ref="E22:F22"/>
    <mergeCell ref="E25:F25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5:C15"/>
    <mergeCell ref="A17:J1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E14" sqref="E14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206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19" t="s">
        <v>10</v>
      </c>
      <c r="G7" s="19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73" t="s">
        <v>207</v>
      </c>
      <c r="C9" s="22" t="s">
        <v>46</v>
      </c>
      <c r="D9" s="21">
        <f>F9/12</f>
        <v>133363.8475</v>
      </c>
      <c r="E9" s="21">
        <f>F9+G9</f>
        <v>1939017.18</v>
      </c>
      <c r="F9" s="21">
        <f>1939017.18-338651.01</f>
        <v>1600366.17</v>
      </c>
      <c r="G9" s="21">
        <f>15020.55+140425+183205.46</f>
        <v>338651.01</v>
      </c>
      <c r="H9" s="23">
        <f>D9/D18</f>
        <v>3.7399256925339457</v>
      </c>
      <c r="I9" s="18"/>
      <c r="J9" s="18"/>
    </row>
    <row r="10" spans="1:10" ht="30" x14ac:dyDescent="0.25">
      <c r="A10" s="20">
        <v>2</v>
      </c>
      <c r="B10" s="73" t="s">
        <v>208</v>
      </c>
      <c r="C10" s="22" t="s">
        <v>209</v>
      </c>
      <c r="D10" s="21">
        <f t="shared" ref="D10:D17" si="0">F10/12</f>
        <v>102750.25750000001</v>
      </c>
      <c r="E10" s="21">
        <f t="shared" ref="E10:E17" si="1">F10+G10</f>
        <v>1371506.77</v>
      </c>
      <c r="F10" s="21">
        <f>1371506.77-138503.68</f>
        <v>1233003.0900000001</v>
      </c>
      <c r="G10" s="21">
        <v>138503.67999999999</v>
      </c>
      <c r="H10" s="23">
        <f>D10/D18</f>
        <v>2.8814280267276242</v>
      </c>
      <c r="I10" s="18"/>
      <c r="J10" s="18"/>
    </row>
    <row r="11" spans="1:10" ht="30" x14ac:dyDescent="0.25">
      <c r="A11" s="20">
        <v>3</v>
      </c>
      <c r="B11" s="73" t="s">
        <v>210</v>
      </c>
      <c r="C11" s="22" t="s">
        <v>82</v>
      </c>
      <c r="D11" s="21">
        <f>F11/9</f>
        <v>107472.0288888889</v>
      </c>
      <c r="E11" s="21">
        <f t="shared" si="1"/>
        <v>1238789.3600000001</v>
      </c>
      <c r="F11" s="21">
        <f>1238789.36-271541.1</f>
        <v>967248.26000000013</v>
      </c>
      <c r="G11" s="21">
        <f>14761.68+62737.14+194042.28</f>
        <v>271541.09999999998</v>
      </c>
      <c r="H11" s="23">
        <f>D11/D18</f>
        <v>3.0138407792284641</v>
      </c>
      <c r="I11" s="18"/>
      <c r="J11" s="18"/>
    </row>
    <row r="12" spans="1:10" ht="30" x14ac:dyDescent="0.25">
      <c r="A12" s="20">
        <v>4</v>
      </c>
      <c r="B12" s="73" t="s">
        <v>211</v>
      </c>
      <c r="C12" s="22" t="s">
        <v>71</v>
      </c>
      <c r="D12" s="21">
        <f t="shared" si="0"/>
        <v>98633.57166666667</v>
      </c>
      <c r="E12" s="21">
        <f t="shared" si="1"/>
        <v>1323226.3600000001</v>
      </c>
      <c r="F12" s="21">
        <f>1323226.36-139623.5</f>
        <v>1183602.8600000001</v>
      </c>
      <c r="G12" s="21">
        <f>4267.62+18470.63+86939.46+29945.79</f>
        <v>139623.5</v>
      </c>
      <c r="H12" s="23">
        <f>D12/D18</f>
        <v>2.7659837035112154</v>
      </c>
      <c r="I12" s="18"/>
      <c r="J12" s="18"/>
    </row>
    <row r="13" spans="1:10" ht="30" x14ac:dyDescent="0.25">
      <c r="A13" s="20">
        <v>5</v>
      </c>
      <c r="B13" s="73" t="s">
        <v>212</v>
      </c>
      <c r="C13" s="22" t="s">
        <v>82</v>
      </c>
      <c r="D13" s="21">
        <f>F13/4</f>
        <v>101758.535</v>
      </c>
      <c r="E13" s="21">
        <f t="shared" si="1"/>
        <v>407034.14</v>
      </c>
      <c r="F13" s="21">
        <f>13426+53704+43200+13426+53704+1225.14+10537+48600+13426+53704+12888.96+2929.31+39272.73+3051.36+43939.64</f>
        <v>407034.14</v>
      </c>
      <c r="G13" s="21">
        <v>0</v>
      </c>
      <c r="H13" s="23">
        <f>D13/D18</f>
        <v>2.8536171279935125</v>
      </c>
      <c r="I13" s="18"/>
      <c r="J13" s="18"/>
    </row>
    <row r="14" spans="1:10" ht="45" x14ac:dyDescent="0.25">
      <c r="A14" s="20">
        <v>6</v>
      </c>
      <c r="B14" s="73" t="s">
        <v>213</v>
      </c>
      <c r="C14" s="22" t="s">
        <v>50</v>
      </c>
      <c r="D14" s="21">
        <f t="shared" ref="D14:D15" si="2">F14/12</f>
        <v>117203.45000000001</v>
      </c>
      <c r="E14" s="21">
        <f t="shared" si="1"/>
        <v>1561938.6</v>
      </c>
      <c r="F14" s="21">
        <f>1561938.6-155497.2</f>
        <v>1406441.4000000001</v>
      </c>
      <c r="G14" s="21">
        <f>34535.27+120961.93</f>
        <v>155497.19999999998</v>
      </c>
      <c r="H14" s="23">
        <f>D14/D18</f>
        <v>3.2867392634920622</v>
      </c>
      <c r="I14" s="18"/>
      <c r="J14" s="18"/>
    </row>
    <row r="15" spans="1:10" ht="30" x14ac:dyDescent="0.25">
      <c r="A15" s="20">
        <v>7</v>
      </c>
      <c r="B15" s="21" t="s">
        <v>214</v>
      </c>
      <c r="C15" s="22" t="s">
        <v>73</v>
      </c>
      <c r="D15" s="21">
        <f t="shared" si="2"/>
        <v>100793.34999999999</v>
      </c>
      <c r="E15" s="21">
        <f t="shared" si="1"/>
        <v>1382707.63</v>
      </c>
      <c r="F15" s="21">
        <f>1382707.63-173187.43</f>
        <v>1209520.2</v>
      </c>
      <c r="G15" s="21">
        <f>7717.8+21528.56+30997.89+112943.18</f>
        <v>173187.43</v>
      </c>
      <c r="H15" s="23">
        <f>D15/D18</f>
        <v>2.8265504210319543</v>
      </c>
      <c r="I15" s="18"/>
      <c r="J15" s="18"/>
    </row>
    <row r="16" spans="1:10" ht="30" x14ac:dyDescent="0.25">
      <c r="A16" s="20">
        <v>8</v>
      </c>
      <c r="B16" s="21" t="s">
        <v>215</v>
      </c>
      <c r="C16" s="22" t="s">
        <v>55</v>
      </c>
      <c r="D16" s="21">
        <f t="shared" si="0"/>
        <v>112514.56</v>
      </c>
      <c r="E16" s="21">
        <f t="shared" si="1"/>
        <v>1500997.4</v>
      </c>
      <c r="F16" s="21">
        <f>1500997.4-150822.68</f>
        <v>1350174.72</v>
      </c>
      <c r="G16" s="21">
        <f>114560.42+28544.46+7717.8</f>
        <v>150822.68</v>
      </c>
      <c r="H16" s="23">
        <f>D16/D18</f>
        <v>3.1552486045976753</v>
      </c>
      <c r="I16" s="18"/>
      <c r="J16" s="18"/>
    </row>
    <row r="17" spans="1:10" x14ac:dyDescent="0.25">
      <c r="A17" s="20">
        <v>9</v>
      </c>
      <c r="B17" s="21" t="s">
        <v>216</v>
      </c>
      <c r="C17" s="22" t="s">
        <v>17</v>
      </c>
      <c r="D17" s="21">
        <f t="shared" si="0"/>
        <v>97430.030833333338</v>
      </c>
      <c r="E17" s="21">
        <f t="shared" si="1"/>
        <v>1307054.82</v>
      </c>
      <c r="F17" s="21">
        <f>1307054.82-137894.45</f>
        <v>1169160.3700000001</v>
      </c>
      <c r="G17" s="21">
        <f>33788.65+59169.8+44936</f>
        <v>137894.45000000001</v>
      </c>
      <c r="H17" s="23">
        <f>D17/D18</f>
        <v>2.7322327779869866</v>
      </c>
      <c r="I17" s="18"/>
      <c r="J17" s="18"/>
    </row>
    <row r="18" spans="1:10" x14ac:dyDescent="0.25">
      <c r="A18" s="22"/>
      <c r="B18" s="106" t="s">
        <v>18</v>
      </c>
      <c r="C18" s="107"/>
      <c r="D18" s="21">
        <f>F18/12/1109.9</f>
        <v>35659.491247710001</v>
      </c>
      <c r="E18" s="21">
        <f>F18+G18</f>
        <v>540621438.34000003</v>
      </c>
      <c r="F18" s="21">
        <f>545774601.01-924175.09-13389.66-2205.53-4117275.04-96117.35-65679806.31</f>
        <v>474941632.03000003</v>
      </c>
      <c r="G18" s="21">
        <f>10784673.96+489800.09+463406.3+39467.55+37287499.45+19605.2+411895.71+4078286.93+1256247.8+273387.94+423853.07+3430612.76+77197.02+3400+180425+591532.5+13560.4+5230621.17+441000+23200+346.69+80896.56+3502.17+2824.91+68620.55+3942.58</f>
        <v>65679806.310000002</v>
      </c>
      <c r="H18" s="20"/>
      <c r="I18" s="18"/>
      <c r="J18" s="18"/>
    </row>
    <row r="19" spans="1:10" x14ac:dyDescent="0.25">
      <c r="A19" s="18"/>
      <c r="B19" s="18"/>
      <c r="C19" s="18"/>
      <c r="D19" s="18"/>
      <c r="E19" s="24"/>
      <c r="F19" s="24"/>
      <c r="G19" s="24"/>
      <c r="H19" s="18"/>
      <c r="I19" s="18"/>
      <c r="J19" s="18"/>
    </row>
    <row r="20" spans="1:10" x14ac:dyDescent="0.25">
      <c r="A20" s="108" t="s">
        <v>19</v>
      </c>
      <c r="B20" s="108"/>
      <c r="C20" s="108"/>
      <c r="D20" s="108"/>
      <c r="E20" s="108"/>
      <c r="F20" s="108"/>
      <c r="G20" s="108"/>
      <c r="H20" s="108"/>
      <c r="I20" s="108"/>
      <c r="J20" s="10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ht="30" x14ac:dyDescent="0.25">
      <c r="A24" s="18"/>
      <c r="B24" s="18" t="s">
        <v>20</v>
      </c>
      <c r="C24" s="25"/>
      <c r="D24" s="26"/>
      <c r="E24" s="27" t="s">
        <v>207</v>
      </c>
      <c r="F24" s="25"/>
      <c r="G24" s="18"/>
      <c r="H24" s="18"/>
      <c r="I24" s="18"/>
      <c r="J24" s="18"/>
    </row>
    <row r="25" spans="1:10" x14ac:dyDescent="0.25">
      <c r="A25" s="18"/>
      <c r="B25" s="18"/>
      <c r="C25" s="28" t="s">
        <v>22</v>
      </c>
      <c r="D25" s="18"/>
      <c r="E25" s="99" t="s">
        <v>23</v>
      </c>
      <c r="F25" s="99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5">
      <c r="A27" s="18"/>
      <c r="B27" s="18" t="s">
        <v>17</v>
      </c>
      <c r="C27" s="25"/>
      <c r="D27" s="26"/>
      <c r="E27" s="27" t="s">
        <v>216</v>
      </c>
      <c r="F27" s="25"/>
      <c r="G27" s="18"/>
      <c r="H27" s="18"/>
      <c r="I27" s="18"/>
      <c r="J27" s="18"/>
    </row>
    <row r="28" spans="1:10" x14ac:dyDescent="0.25">
      <c r="A28" s="18"/>
      <c r="B28" s="18"/>
      <c r="C28" s="28" t="s">
        <v>22</v>
      </c>
      <c r="D28" s="18"/>
      <c r="E28" s="99" t="s">
        <v>23</v>
      </c>
      <c r="F28" s="99"/>
      <c r="G28" s="18"/>
      <c r="H28" s="18"/>
      <c r="I28" s="18"/>
      <c r="J28" s="18"/>
    </row>
    <row r="29" spans="1:10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</row>
  </sheetData>
  <mergeCells count="14">
    <mergeCell ref="B18:C18"/>
    <mergeCell ref="A20:J20"/>
    <mergeCell ref="E25:F25"/>
    <mergeCell ref="E28:F28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G19" sqref="G19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customHeight="1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217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96" t="s">
        <v>10</v>
      </c>
      <c r="G7" s="96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21" t="s">
        <v>343</v>
      </c>
      <c r="C9" s="22" t="s">
        <v>46</v>
      </c>
      <c r="D9" s="21">
        <f>E9/12</f>
        <v>132622.0975</v>
      </c>
      <c r="E9" s="21">
        <f>F9+G9</f>
        <v>1591465.1700000002</v>
      </c>
      <c r="F9" s="21">
        <v>1583747.37</v>
      </c>
      <c r="G9" s="21">
        <v>7717.8</v>
      </c>
      <c r="H9" s="23">
        <f>D9/D15</f>
        <v>3.6368130454824792</v>
      </c>
      <c r="I9" s="18"/>
      <c r="J9" s="18"/>
    </row>
    <row r="10" spans="1:10" ht="30" x14ac:dyDescent="0.25">
      <c r="A10" s="20">
        <v>2</v>
      </c>
      <c r="B10" s="21" t="s">
        <v>344</v>
      </c>
      <c r="C10" s="22" t="s">
        <v>82</v>
      </c>
      <c r="D10" s="21">
        <f t="shared" ref="D10:D14" si="0">E10/12</f>
        <v>130625.33333333333</v>
      </c>
      <c r="E10" s="21">
        <v>1567504</v>
      </c>
      <c r="F10" s="21">
        <v>1181369.3999999999</v>
      </c>
      <c r="G10" s="21">
        <v>386134.6</v>
      </c>
      <c r="H10" s="23">
        <f>D10/D15</f>
        <v>3.5820570273906576</v>
      </c>
      <c r="I10" s="18"/>
      <c r="J10" s="18"/>
    </row>
    <row r="11" spans="1:10" ht="30" x14ac:dyDescent="0.25">
      <c r="A11" s="20">
        <v>3</v>
      </c>
      <c r="B11" s="21" t="s">
        <v>345</v>
      </c>
      <c r="C11" s="22" t="s">
        <v>73</v>
      </c>
      <c r="D11" s="21">
        <f t="shared" si="0"/>
        <v>105572.5</v>
      </c>
      <c r="E11" s="21">
        <v>1266870</v>
      </c>
      <c r="F11" s="21">
        <v>1034928.86</v>
      </c>
      <c r="G11" s="21">
        <v>231941.14</v>
      </c>
      <c r="H11" s="23">
        <f>D11/D15</f>
        <v>2.895048807716218</v>
      </c>
      <c r="I11" s="18"/>
      <c r="J11" s="18"/>
    </row>
    <row r="12" spans="1:10" ht="30" x14ac:dyDescent="0.25">
      <c r="A12" s="20">
        <v>4</v>
      </c>
      <c r="B12" s="21" t="s">
        <v>346</v>
      </c>
      <c r="C12" s="22" t="s">
        <v>71</v>
      </c>
      <c r="D12" s="21">
        <f t="shared" si="0"/>
        <v>99005.916666666672</v>
      </c>
      <c r="E12" s="21">
        <v>1188071</v>
      </c>
      <c r="F12" s="21">
        <v>965119.09</v>
      </c>
      <c r="G12" s="21">
        <v>222951.91</v>
      </c>
      <c r="H12" s="23">
        <f>D12/D15</f>
        <v>2.7149774894284455</v>
      </c>
      <c r="I12" s="18"/>
      <c r="J12" s="18"/>
    </row>
    <row r="13" spans="1:10" ht="30" x14ac:dyDescent="0.25">
      <c r="A13" s="20">
        <v>5</v>
      </c>
      <c r="B13" s="21" t="s">
        <v>347</v>
      </c>
      <c r="C13" s="22" t="s">
        <v>218</v>
      </c>
      <c r="D13" s="21">
        <f t="shared" si="0"/>
        <v>80911.979166666672</v>
      </c>
      <c r="E13" s="21">
        <v>970943.75</v>
      </c>
      <c r="F13" s="21">
        <v>970943.75</v>
      </c>
      <c r="G13" s="21"/>
      <c r="H13" s="23">
        <f>D13/D15</f>
        <v>2.2187987289911466</v>
      </c>
      <c r="I13" s="18"/>
      <c r="J13" s="18"/>
    </row>
    <row r="14" spans="1:10" x14ac:dyDescent="0.25">
      <c r="A14" s="20">
        <v>6</v>
      </c>
      <c r="B14" s="21" t="s">
        <v>348</v>
      </c>
      <c r="C14" s="22" t="s">
        <v>17</v>
      </c>
      <c r="D14" s="21">
        <f t="shared" si="0"/>
        <v>87142.55</v>
      </c>
      <c r="E14" s="21">
        <v>1045710.6</v>
      </c>
      <c r="F14" s="21">
        <v>997810.55</v>
      </c>
      <c r="G14" s="21">
        <v>47900.05</v>
      </c>
      <c r="H14" s="23">
        <f>D14/D15</f>
        <v>2.3896557861076597</v>
      </c>
      <c r="I14" s="18"/>
      <c r="J14" s="18"/>
    </row>
    <row r="15" spans="1:10" x14ac:dyDescent="0.25">
      <c r="A15" s="22"/>
      <c r="B15" s="106" t="s">
        <v>18</v>
      </c>
      <c r="C15" s="107"/>
      <c r="D15" s="21">
        <v>36466.57</v>
      </c>
      <c r="E15" s="21"/>
      <c r="F15" s="21"/>
      <c r="G15" s="21"/>
      <c r="H15" s="20"/>
      <c r="I15" s="18"/>
      <c r="J15" s="18"/>
    </row>
    <row r="16" spans="1:10" x14ac:dyDescent="0.25">
      <c r="A16" s="18"/>
      <c r="B16" s="18"/>
      <c r="C16" s="18"/>
      <c r="D16" s="18"/>
      <c r="E16" s="24"/>
      <c r="F16" s="24"/>
      <c r="G16" s="24"/>
      <c r="H16" s="18"/>
      <c r="I16" s="18"/>
      <c r="J16" s="18"/>
    </row>
    <row r="17" spans="1:10" x14ac:dyDescent="0.25">
      <c r="A17" s="108" t="s">
        <v>19</v>
      </c>
      <c r="B17" s="108"/>
      <c r="C17" s="108"/>
      <c r="D17" s="108"/>
      <c r="E17" s="108"/>
      <c r="F17" s="108"/>
      <c r="G17" s="108"/>
      <c r="H17" s="108"/>
      <c r="I17" s="108"/>
      <c r="J17" s="10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 t="s">
        <v>20</v>
      </c>
      <c r="C21" s="25"/>
      <c r="D21" s="26"/>
      <c r="E21" s="95" t="s">
        <v>219</v>
      </c>
      <c r="F21" s="25"/>
      <c r="G21" s="18"/>
      <c r="H21" s="18"/>
      <c r="I21" s="18"/>
      <c r="J21" s="18"/>
    </row>
    <row r="22" spans="1:10" x14ac:dyDescent="0.25">
      <c r="A22" s="18"/>
      <c r="B22" s="18"/>
      <c r="C22" s="28" t="s">
        <v>22</v>
      </c>
      <c r="D22" s="18"/>
      <c r="E22" s="99" t="s">
        <v>23</v>
      </c>
      <c r="F22" s="99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8"/>
      <c r="B24" s="18" t="s">
        <v>17</v>
      </c>
      <c r="C24" s="25"/>
      <c r="D24" s="26"/>
      <c r="E24" s="95" t="s">
        <v>220</v>
      </c>
      <c r="F24" s="25"/>
      <c r="G24" s="18"/>
      <c r="H24" s="18"/>
      <c r="I24" s="18"/>
      <c r="J24" s="18"/>
    </row>
    <row r="25" spans="1:10" x14ac:dyDescent="0.25">
      <c r="A25" s="18"/>
      <c r="B25" s="18"/>
      <c r="C25" s="28" t="s">
        <v>22</v>
      </c>
      <c r="D25" s="18"/>
      <c r="E25" s="99" t="s">
        <v>23</v>
      </c>
      <c r="F25" s="99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</sheetData>
  <mergeCells count="14">
    <mergeCell ref="B15:C15"/>
    <mergeCell ref="A17:J17"/>
    <mergeCell ref="E22:F22"/>
    <mergeCell ref="E25:F25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E15" sqref="E15"/>
    </sheetView>
  </sheetViews>
  <sheetFormatPr defaultRowHeight="15" x14ac:dyDescent="0.25"/>
  <cols>
    <col min="1" max="1" width="9.140625" style="17"/>
    <col min="2" max="2" width="33.5703125" style="17" customWidth="1"/>
    <col min="3" max="3" width="25.42578125" style="17" customWidth="1"/>
    <col min="4" max="4" width="23.42578125" style="17" customWidth="1"/>
    <col min="5" max="5" width="21.5703125" style="17" customWidth="1"/>
    <col min="6" max="6" width="25.28515625" style="17" customWidth="1"/>
    <col min="7" max="7" width="22.5703125" style="17" customWidth="1"/>
    <col min="8" max="8" width="30.5703125" style="17" customWidth="1"/>
    <col min="9" max="9" width="9.140625" style="17"/>
    <col min="10" max="10" width="12.5703125" style="17" bestFit="1" customWidth="1"/>
    <col min="11" max="16384" width="9.140625" style="17"/>
  </cols>
  <sheetData>
    <row r="1" spans="1:10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221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19" t="s">
        <v>10</v>
      </c>
      <c r="G7" s="19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s="80" customFormat="1" x14ac:dyDescent="0.25">
      <c r="A9" s="1">
        <v>1</v>
      </c>
      <c r="B9" s="74" t="s">
        <v>222</v>
      </c>
      <c r="C9" s="75" t="s">
        <v>46</v>
      </c>
      <c r="D9" s="74">
        <v>144369.23000000001</v>
      </c>
      <c r="E9" s="76">
        <v>1950019.24</v>
      </c>
      <c r="F9" s="74">
        <v>1732430.74</v>
      </c>
      <c r="G9" s="74">
        <v>217588.5</v>
      </c>
      <c r="H9" s="77">
        <f>D9/36435.91</f>
        <v>3.96227869703268</v>
      </c>
      <c r="I9" s="78"/>
      <c r="J9" s="79"/>
    </row>
    <row r="10" spans="1:10" s="80" customFormat="1" ht="45" x14ac:dyDescent="0.25">
      <c r="A10" s="1">
        <v>2</v>
      </c>
      <c r="B10" s="74" t="s">
        <v>223</v>
      </c>
      <c r="C10" s="75" t="s">
        <v>224</v>
      </c>
      <c r="D10" s="74">
        <v>115604.56</v>
      </c>
      <c r="E10" s="76">
        <v>1414326.3</v>
      </c>
      <c r="F10" s="74">
        <v>1387254.71</v>
      </c>
      <c r="G10" s="74">
        <v>27071.59</v>
      </c>
      <c r="H10" s="77">
        <f>D10/36435.91</f>
        <v>3.1728193422368203</v>
      </c>
      <c r="I10" s="78"/>
      <c r="J10" s="79"/>
    </row>
    <row r="11" spans="1:10" s="80" customFormat="1" ht="30" x14ac:dyDescent="0.25">
      <c r="A11" s="1">
        <v>3</v>
      </c>
      <c r="B11" s="74" t="s">
        <v>225</v>
      </c>
      <c r="C11" s="75" t="s">
        <v>226</v>
      </c>
      <c r="D11" s="74">
        <v>107237.53</v>
      </c>
      <c r="E11" s="76">
        <v>1294568.1299999999</v>
      </c>
      <c r="F11" s="74">
        <v>1286850.33</v>
      </c>
      <c r="G11" s="74">
        <v>7717.8</v>
      </c>
      <c r="H11" s="77">
        <f t="shared" ref="H11:H16" si="0">D11/36435.91</f>
        <v>2.9431824263480721</v>
      </c>
      <c r="I11" s="78"/>
      <c r="J11" s="79"/>
    </row>
    <row r="12" spans="1:10" s="80" customFormat="1" ht="45" x14ac:dyDescent="0.25">
      <c r="A12" s="1">
        <v>4</v>
      </c>
      <c r="B12" s="74" t="s">
        <v>227</v>
      </c>
      <c r="C12" s="75" t="s">
        <v>73</v>
      </c>
      <c r="D12" s="74">
        <v>105334.82</v>
      </c>
      <c r="E12" s="76">
        <v>1142192.08</v>
      </c>
      <c r="F12" s="74">
        <v>1053348.24</v>
      </c>
      <c r="G12" s="74">
        <v>88843.839999999997</v>
      </c>
      <c r="H12" s="77">
        <f t="shared" si="0"/>
        <v>2.890961691364371</v>
      </c>
      <c r="I12" s="78"/>
      <c r="J12" s="79"/>
    </row>
    <row r="13" spans="1:10" s="80" customFormat="1" ht="30" x14ac:dyDescent="0.25">
      <c r="A13" s="1">
        <v>5</v>
      </c>
      <c r="B13" s="74" t="s">
        <v>228</v>
      </c>
      <c r="C13" s="75" t="s">
        <v>168</v>
      </c>
      <c r="D13" s="74">
        <v>102404.71</v>
      </c>
      <c r="E13" s="76">
        <v>1129124.32</v>
      </c>
      <c r="F13" s="74">
        <v>1105970.92</v>
      </c>
      <c r="G13" s="74">
        <v>23153.4</v>
      </c>
      <c r="H13" s="77">
        <f t="shared" si="0"/>
        <v>2.8105434995310943</v>
      </c>
      <c r="I13" s="78"/>
      <c r="J13" s="79"/>
    </row>
    <row r="14" spans="1:10" s="80" customFormat="1" ht="45" x14ac:dyDescent="0.25">
      <c r="A14" s="1">
        <v>6</v>
      </c>
      <c r="B14" s="74" t="s">
        <v>229</v>
      </c>
      <c r="C14" s="75" t="s">
        <v>209</v>
      </c>
      <c r="D14" s="74">
        <v>107017.55</v>
      </c>
      <c r="E14" s="76">
        <v>1291928.3400000001</v>
      </c>
      <c r="F14" s="74">
        <v>1284210.54</v>
      </c>
      <c r="G14" s="74">
        <v>7717.8</v>
      </c>
      <c r="H14" s="77">
        <f t="shared" si="0"/>
        <v>2.937144975931711</v>
      </c>
      <c r="I14" s="78"/>
      <c r="J14" s="79"/>
    </row>
    <row r="15" spans="1:10" s="80" customFormat="1" ht="45" x14ac:dyDescent="0.25">
      <c r="A15" s="1">
        <v>7</v>
      </c>
      <c r="B15" s="74" t="s">
        <v>230</v>
      </c>
      <c r="C15" s="75" t="s">
        <v>55</v>
      </c>
      <c r="D15" s="74">
        <v>102713.13</v>
      </c>
      <c r="E15" s="76">
        <v>1016860.56</v>
      </c>
      <c r="F15" s="74">
        <v>1016860</v>
      </c>
      <c r="G15" s="74"/>
      <c r="H15" s="77">
        <f t="shared" si="0"/>
        <v>2.8190082256762627</v>
      </c>
      <c r="I15" s="78"/>
      <c r="J15" s="79"/>
    </row>
    <row r="16" spans="1:10" s="80" customFormat="1" x14ac:dyDescent="0.25">
      <c r="A16" s="1">
        <v>8</v>
      </c>
      <c r="B16" s="74" t="s">
        <v>231</v>
      </c>
      <c r="C16" s="75" t="s">
        <v>17</v>
      </c>
      <c r="D16" s="74">
        <v>110993.81</v>
      </c>
      <c r="E16" s="76">
        <v>1331925.68</v>
      </c>
      <c r="F16" s="74">
        <v>1331925.68</v>
      </c>
      <c r="G16" s="74"/>
      <c r="H16" s="77">
        <f t="shared" si="0"/>
        <v>3.0462752268297946</v>
      </c>
      <c r="I16" s="78"/>
      <c r="J16" s="79"/>
    </row>
    <row r="17" spans="1:10" x14ac:dyDescent="0.25">
      <c r="A17" s="22"/>
      <c r="B17" s="106" t="s">
        <v>18</v>
      </c>
      <c r="C17" s="107"/>
      <c r="D17" s="21">
        <v>36435.910000000003</v>
      </c>
      <c r="E17" s="21">
        <v>586740363.60000002</v>
      </c>
      <c r="F17" s="21">
        <v>568618779.21000004</v>
      </c>
      <c r="G17" s="21">
        <v>18121584.390000001</v>
      </c>
      <c r="H17" s="20"/>
      <c r="I17" s="18"/>
      <c r="J17" s="24"/>
    </row>
    <row r="18" spans="1:10" x14ac:dyDescent="0.25">
      <c r="A18" s="18"/>
      <c r="B18" s="18"/>
      <c r="C18" s="18"/>
      <c r="D18" s="18"/>
      <c r="E18" s="24"/>
      <c r="F18" s="24"/>
      <c r="G18" s="24"/>
      <c r="H18" s="18"/>
      <c r="I18" s="18"/>
      <c r="J18" s="18"/>
    </row>
    <row r="19" spans="1:10" x14ac:dyDescent="0.25">
      <c r="A19" s="108" t="s">
        <v>19</v>
      </c>
      <c r="B19" s="108"/>
      <c r="C19" s="108"/>
      <c r="D19" s="108"/>
      <c r="E19" s="108"/>
      <c r="F19" s="108"/>
      <c r="G19" s="108"/>
      <c r="H19" s="108"/>
      <c r="I19" s="108"/>
      <c r="J19" s="10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 t="s">
        <v>20</v>
      </c>
      <c r="C23" s="25"/>
      <c r="D23" s="26"/>
      <c r="E23" s="27" t="s">
        <v>232</v>
      </c>
      <c r="F23" s="25"/>
      <c r="G23" s="18"/>
      <c r="H23" s="18"/>
      <c r="I23" s="18"/>
      <c r="J23" s="18"/>
    </row>
    <row r="24" spans="1:10" x14ac:dyDescent="0.25">
      <c r="A24" s="18"/>
      <c r="B24" s="18"/>
      <c r="C24" s="28" t="s">
        <v>22</v>
      </c>
      <c r="D24" s="18"/>
      <c r="E24" s="99" t="s">
        <v>23</v>
      </c>
      <c r="F24" s="99"/>
      <c r="G24" s="18"/>
      <c r="H24" s="18"/>
      <c r="I24" s="18"/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 x14ac:dyDescent="0.25">
      <c r="A26" s="18"/>
      <c r="B26" s="18" t="s">
        <v>17</v>
      </c>
      <c r="C26" s="25"/>
      <c r="D26" s="26"/>
      <c r="E26" s="27" t="s">
        <v>233</v>
      </c>
      <c r="F26" s="25"/>
      <c r="G26" s="18"/>
      <c r="H26" s="18"/>
      <c r="I26" s="18"/>
      <c r="J26" s="18"/>
    </row>
    <row r="27" spans="1:10" x14ac:dyDescent="0.25">
      <c r="A27" s="18"/>
      <c r="B27" s="18"/>
      <c r="C27" s="28" t="s">
        <v>22</v>
      </c>
      <c r="D27" s="18"/>
      <c r="E27" s="99" t="s">
        <v>23</v>
      </c>
      <c r="F27" s="99"/>
      <c r="G27" s="18"/>
      <c r="H27" s="18"/>
      <c r="I27" s="18"/>
      <c r="J27" s="18"/>
    </row>
    <row r="28" spans="1:10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</row>
  </sheetData>
  <mergeCells count="14">
    <mergeCell ref="B17:C17"/>
    <mergeCell ref="A19:J19"/>
    <mergeCell ref="E24:F24"/>
    <mergeCell ref="E27:F27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E22" sqref="E22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9" width="11.42578125" style="17" bestFit="1" customWidth="1"/>
    <col min="10" max="16384" width="9.140625" style="17"/>
  </cols>
  <sheetData>
    <row r="1" spans="1:10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234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19" t="s">
        <v>10</v>
      </c>
      <c r="G7" s="19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ht="30" x14ac:dyDescent="0.25">
      <c r="A9" s="20">
        <v>1</v>
      </c>
      <c r="B9" s="21" t="s">
        <v>235</v>
      </c>
      <c r="C9" s="22" t="s">
        <v>46</v>
      </c>
      <c r="D9" s="21">
        <v>150149.29</v>
      </c>
      <c r="E9" s="21">
        <v>1801791.53</v>
      </c>
      <c r="F9" s="21">
        <v>1343694.37</v>
      </c>
      <c r="G9" s="21">
        <v>434943.76</v>
      </c>
      <c r="H9" s="23">
        <v>3.9</v>
      </c>
      <c r="I9" s="18"/>
      <c r="J9" s="18"/>
    </row>
    <row r="10" spans="1:10" ht="30" x14ac:dyDescent="0.25">
      <c r="A10" s="20">
        <v>2</v>
      </c>
      <c r="B10" s="21" t="s">
        <v>236</v>
      </c>
      <c r="C10" s="22" t="s">
        <v>237</v>
      </c>
      <c r="D10" s="21">
        <v>130668.01</v>
      </c>
      <c r="E10" s="21">
        <v>1568016.17</v>
      </c>
      <c r="F10" s="21">
        <v>1287215.49</v>
      </c>
      <c r="G10" s="21">
        <v>28080.68</v>
      </c>
      <c r="H10" s="23">
        <v>3.4</v>
      </c>
      <c r="I10" s="18"/>
      <c r="J10" s="18"/>
    </row>
    <row r="11" spans="1:10" ht="30" x14ac:dyDescent="0.25">
      <c r="A11" s="20">
        <v>3</v>
      </c>
      <c r="B11" s="21" t="s">
        <v>238</v>
      </c>
      <c r="C11" s="22" t="s">
        <v>239</v>
      </c>
      <c r="D11" s="21">
        <v>95497.48</v>
      </c>
      <c r="E11" s="21">
        <v>1145969.76</v>
      </c>
      <c r="F11" s="21">
        <v>969068.3</v>
      </c>
      <c r="G11" s="21">
        <v>176901.46</v>
      </c>
      <c r="H11" s="23">
        <v>2.4</v>
      </c>
      <c r="I11" s="18"/>
      <c r="J11" s="18"/>
    </row>
    <row r="12" spans="1:10" ht="30" x14ac:dyDescent="0.25">
      <c r="A12" s="20">
        <v>4</v>
      </c>
      <c r="B12" s="21" t="s">
        <v>240</v>
      </c>
      <c r="C12" s="22" t="s">
        <v>241</v>
      </c>
      <c r="D12" s="21">
        <v>99520.03</v>
      </c>
      <c r="E12" s="21">
        <v>1194240.3500000001</v>
      </c>
      <c r="F12" s="21">
        <v>1075944</v>
      </c>
      <c r="G12" s="21">
        <v>118296.34</v>
      </c>
      <c r="H12" s="23">
        <v>2.6</v>
      </c>
      <c r="I12" s="18"/>
      <c r="J12" s="18"/>
    </row>
    <row r="13" spans="1:10" ht="30" x14ac:dyDescent="0.25">
      <c r="A13" s="20">
        <v>5</v>
      </c>
      <c r="B13" s="21" t="s">
        <v>242</v>
      </c>
      <c r="C13" s="22" t="s">
        <v>17</v>
      </c>
      <c r="D13" s="21">
        <v>99520.03</v>
      </c>
      <c r="E13" s="21">
        <v>1209232.26</v>
      </c>
      <c r="F13" s="21">
        <v>1092608.8999999999</v>
      </c>
      <c r="G13" s="21">
        <v>116623.36</v>
      </c>
      <c r="H13" s="23">
        <v>2.6</v>
      </c>
      <c r="I13" s="18"/>
      <c r="J13" s="18"/>
    </row>
    <row r="14" spans="1:10" x14ac:dyDescent="0.25">
      <c r="A14" s="22"/>
      <c r="B14" s="106" t="s">
        <v>18</v>
      </c>
      <c r="C14" s="107"/>
      <c r="D14" s="21">
        <v>38905.599999999999</v>
      </c>
      <c r="E14" s="21">
        <v>182638458.52000001</v>
      </c>
      <c r="F14" s="21">
        <v>161554484.66</v>
      </c>
      <c r="G14" s="21">
        <v>21083973.859999999</v>
      </c>
      <c r="H14" s="20"/>
      <c r="I14" s="18"/>
      <c r="J14" s="18"/>
    </row>
    <row r="15" spans="1:10" x14ac:dyDescent="0.25">
      <c r="A15" s="18"/>
      <c r="B15" s="18"/>
      <c r="C15" s="18"/>
      <c r="D15" s="18"/>
      <c r="E15" s="24"/>
      <c r="F15" s="24"/>
      <c r="G15" s="24"/>
      <c r="H15" s="18"/>
      <c r="I15" s="18"/>
      <c r="J15" s="18"/>
    </row>
    <row r="16" spans="1:10" x14ac:dyDescent="0.25">
      <c r="A16" s="108" t="s">
        <v>19</v>
      </c>
      <c r="B16" s="108"/>
      <c r="C16" s="108"/>
      <c r="D16" s="108"/>
      <c r="E16" s="108"/>
      <c r="F16" s="108"/>
      <c r="G16" s="108"/>
      <c r="H16" s="108"/>
      <c r="I16" s="108"/>
      <c r="J16" s="108"/>
    </row>
    <row r="17" spans="1:1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18"/>
      <c r="B20" s="18" t="s">
        <v>20</v>
      </c>
      <c r="C20" s="25"/>
      <c r="D20" s="26"/>
      <c r="E20" s="101" t="s">
        <v>243</v>
      </c>
      <c r="F20" s="101"/>
      <c r="G20" s="18"/>
      <c r="H20" s="18"/>
      <c r="I20" s="18"/>
      <c r="J20" s="18"/>
    </row>
    <row r="21" spans="1:10" x14ac:dyDescent="0.25">
      <c r="A21" s="18"/>
      <c r="B21" s="18"/>
      <c r="C21" s="28" t="s">
        <v>22</v>
      </c>
      <c r="D21" s="18"/>
      <c r="E21" s="99" t="s">
        <v>23</v>
      </c>
      <c r="F21" s="99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 t="s">
        <v>17</v>
      </c>
      <c r="C23" s="25"/>
      <c r="D23" s="26"/>
      <c r="E23" s="101" t="s">
        <v>244</v>
      </c>
      <c r="F23" s="101"/>
      <c r="G23" s="18"/>
      <c r="H23" s="18"/>
      <c r="I23" s="18"/>
      <c r="J23" s="18"/>
    </row>
    <row r="24" spans="1:10" x14ac:dyDescent="0.25">
      <c r="A24" s="18"/>
      <c r="B24" s="18"/>
      <c r="C24" s="28" t="s">
        <v>22</v>
      </c>
      <c r="D24" s="18"/>
      <c r="E24" s="99" t="s">
        <v>23</v>
      </c>
      <c r="F24" s="99"/>
      <c r="G24" s="18"/>
      <c r="H24" s="18"/>
      <c r="I24" s="18"/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</sheetData>
  <mergeCells count="16">
    <mergeCell ref="E24:F24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4:C14"/>
    <mergeCell ref="A16:J16"/>
    <mergeCell ref="E20:F20"/>
    <mergeCell ref="E21:F21"/>
    <mergeCell ref="E23:F2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A16" sqref="A16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customHeight="1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245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96" t="s">
        <v>10</v>
      </c>
      <c r="G7" s="96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ht="37.5" x14ac:dyDescent="0.25">
      <c r="A9" s="20">
        <v>1</v>
      </c>
      <c r="B9" s="81" t="s">
        <v>337</v>
      </c>
      <c r="C9" s="22" t="s">
        <v>46</v>
      </c>
      <c r="D9" s="21">
        <f>F9/12</f>
        <v>112514.75</v>
      </c>
      <c r="E9" s="21">
        <f>F9+G9</f>
        <v>1452677</v>
      </c>
      <c r="F9" s="21">
        <v>1350177</v>
      </c>
      <c r="G9" s="21">
        <v>102500</v>
      </c>
      <c r="H9" s="23">
        <f>D9/D15</f>
        <v>3.4512621560374126</v>
      </c>
      <c r="I9" s="18"/>
      <c r="J9" s="18"/>
    </row>
    <row r="10" spans="1:10" ht="45" x14ac:dyDescent="0.25">
      <c r="A10" s="20">
        <v>2</v>
      </c>
      <c r="B10" s="81" t="s">
        <v>338</v>
      </c>
      <c r="C10" s="82" t="s">
        <v>80</v>
      </c>
      <c r="D10" s="21">
        <f t="shared" ref="D10:D14" si="0">F10/12</f>
        <v>76510.916666666672</v>
      </c>
      <c r="E10" s="21">
        <f t="shared" ref="E10:E15" si="1">F10+G10</f>
        <v>1297292</v>
      </c>
      <c r="F10" s="21">
        <v>918131</v>
      </c>
      <c r="G10" s="21">
        <v>379161</v>
      </c>
      <c r="H10" s="23">
        <f>D10/D15</f>
        <v>2.3468854635983174</v>
      </c>
      <c r="I10" s="18"/>
      <c r="J10" s="18"/>
    </row>
    <row r="11" spans="1:10" ht="37.5" x14ac:dyDescent="0.25">
      <c r="A11" s="20">
        <v>3</v>
      </c>
      <c r="B11" s="81" t="s">
        <v>339</v>
      </c>
      <c r="C11" s="82" t="s">
        <v>71</v>
      </c>
      <c r="D11" s="21">
        <f t="shared" si="0"/>
        <v>84307.25</v>
      </c>
      <c r="E11" s="21">
        <f t="shared" si="1"/>
        <v>1011687</v>
      </c>
      <c r="F11" s="21">
        <v>1011687</v>
      </c>
      <c r="G11" s="21">
        <v>0</v>
      </c>
      <c r="H11" s="23">
        <f>D11/D15</f>
        <v>2.5860291331099714</v>
      </c>
      <c r="I11" s="18"/>
      <c r="J11" s="18"/>
    </row>
    <row r="12" spans="1:10" ht="37.5" x14ac:dyDescent="0.25">
      <c r="A12" s="20">
        <v>4</v>
      </c>
      <c r="B12" s="83" t="s">
        <v>340</v>
      </c>
      <c r="C12" s="82" t="s">
        <v>82</v>
      </c>
      <c r="D12" s="21">
        <f t="shared" si="0"/>
        <v>78054.666666666672</v>
      </c>
      <c r="E12" s="21">
        <f t="shared" si="1"/>
        <v>1443341</v>
      </c>
      <c r="F12" s="21">
        <v>936656</v>
      </c>
      <c r="G12" s="21">
        <v>506685</v>
      </c>
      <c r="H12" s="23">
        <f>D12/D15</f>
        <v>2.3942382413753003</v>
      </c>
      <c r="I12" s="18"/>
      <c r="J12" s="18"/>
    </row>
    <row r="13" spans="1:10" ht="37.5" x14ac:dyDescent="0.25">
      <c r="A13" s="20">
        <v>5</v>
      </c>
      <c r="B13" s="81" t="s">
        <v>341</v>
      </c>
      <c r="C13" s="82" t="s">
        <v>55</v>
      </c>
      <c r="D13" s="21">
        <f t="shared" si="0"/>
        <v>80460.583333333328</v>
      </c>
      <c r="E13" s="21">
        <f t="shared" si="1"/>
        <v>965527</v>
      </c>
      <c r="F13" s="21">
        <v>965527</v>
      </c>
      <c r="G13" s="21">
        <v>0</v>
      </c>
      <c r="H13" s="23">
        <f>D13/D15</f>
        <v>2.4680370023577165</v>
      </c>
      <c r="I13" s="18"/>
      <c r="J13" s="18"/>
    </row>
    <row r="14" spans="1:10" ht="37.5" x14ac:dyDescent="0.25">
      <c r="A14" s="20">
        <v>6</v>
      </c>
      <c r="B14" s="81" t="s">
        <v>342</v>
      </c>
      <c r="C14" s="22" t="s">
        <v>17</v>
      </c>
      <c r="D14" s="21">
        <f t="shared" si="0"/>
        <v>76913.416666666672</v>
      </c>
      <c r="E14" s="21">
        <f t="shared" si="1"/>
        <v>922961</v>
      </c>
      <c r="F14" s="21">
        <v>922961</v>
      </c>
      <c r="G14" s="21">
        <v>0</v>
      </c>
      <c r="H14" s="23">
        <f>D14/D15</f>
        <v>2.3592316939174984</v>
      </c>
      <c r="I14" s="18"/>
      <c r="J14" s="18"/>
    </row>
    <row r="15" spans="1:10" x14ac:dyDescent="0.25">
      <c r="A15" s="22"/>
      <c r="B15" s="106" t="s">
        <v>18</v>
      </c>
      <c r="C15" s="107"/>
      <c r="D15" s="21">
        <f>F15/12/241.1</f>
        <v>32601.044172542515</v>
      </c>
      <c r="E15" s="21">
        <f t="shared" si="1"/>
        <v>95017415</v>
      </c>
      <c r="F15" s="21">
        <v>94321341</v>
      </c>
      <c r="G15" s="21">
        <v>696074</v>
      </c>
      <c r="H15" s="20"/>
      <c r="I15" s="18"/>
      <c r="J15" s="18"/>
    </row>
    <row r="16" spans="1:10" x14ac:dyDescent="0.25">
      <c r="A16" s="18"/>
      <c r="B16" s="18"/>
      <c r="C16" s="18"/>
      <c r="D16" s="18"/>
      <c r="E16" s="24"/>
      <c r="F16" s="24"/>
      <c r="G16" s="24"/>
      <c r="H16" s="18"/>
      <c r="I16" s="18"/>
      <c r="J16" s="18"/>
    </row>
    <row r="17" spans="1:10" x14ac:dyDescent="0.25">
      <c r="A17" s="108" t="s">
        <v>19</v>
      </c>
      <c r="B17" s="108"/>
      <c r="C17" s="108"/>
      <c r="D17" s="108"/>
      <c r="E17" s="108"/>
      <c r="F17" s="108"/>
      <c r="G17" s="108"/>
      <c r="H17" s="108"/>
      <c r="I17" s="108"/>
      <c r="J17" s="10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 t="s">
        <v>20</v>
      </c>
      <c r="C21" s="25"/>
      <c r="D21" s="26"/>
      <c r="E21" s="84" t="s">
        <v>246</v>
      </c>
      <c r="F21" s="25"/>
      <c r="G21" s="18"/>
      <c r="H21" s="18"/>
      <c r="I21" s="18"/>
      <c r="J21" s="18"/>
    </row>
    <row r="22" spans="1:10" x14ac:dyDescent="0.25">
      <c r="A22" s="18"/>
      <c r="B22" s="18"/>
      <c r="C22" s="28" t="s">
        <v>22</v>
      </c>
      <c r="D22" s="18"/>
      <c r="E22" s="99" t="s">
        <v>23</v>
      </c>
      <c r="F22" s="99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8"/>
      <c r="B24" s="18" t="s">
        <v>17</v>
      </c>
      <c r="C24" s="25"/>
      <c r="D24" s="26"/>
      <c r="E24" s="95" t="s">
        <v>247</v>
      </c>
      <c r="F24" s="25"/>
      <c r="G24" s="18"/>
      <c r="H24" s="18"/>
      <c r="I24" s="18"/>
      <c r="J24" s="18"/>
    </row>
    <row r="25" spans="1:10" x14ac:dyDescent="0.25">
      <c r="A25" s="18"/>
      <c r="B25" s="18"/>
      <c r="C25" s="28" t="s">
        <v>22</v>
      </c>
      <c r="D25" s="18"/>
      <c r="E25" s="99" t="s">
        <v>23</v>
      </c>
      <c r="F25" s="99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</sheetData>
  <mergeCells count="14">
    <mergeCell ref="E22:F22"/>
    <mergeCell ref="E25:F25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5:C15"/>
    <mergeCell ref="A17:J1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C10" sqref="C10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8.57031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8" ht="18.75" customHeight="1" x14ac:dyDescent="0.3">
      <c r="A1" s="100" t="s">
        <v>0</v>
      </c>
      <c r="B1" s="100"/>
      <c r="C1" s="100"/>
      <c r="D1" s="100"/>
      <c r="E1" s="100"/>
      <c r="F1" s="100"/>
      <c r="G1" s="100"/>
      <c r="H1" s="100"/>
    </row>
    <row r="2" spans="1:8" x14ac:dyDescent="0.25">
      <c r="A2" s="18"/>
      <c r="B2" s="18"/>
      <c r="C2" s="18"/>
      <c r="D2" s="18"/>
      <c r="E2" s="29" t="s">
        <v>1</v>
      </c>
      <c r="F2" s="18"/>
      <c r="G2" s="18"/>
      <c r="H2" s="18"/>
    </row>
    <row r="3" spans="1:8" x14ac:dyDescent="0.25">
      <c r="A3" s="101" t="s">
        <v>248</v>
      </c>
      <c r="B3" s="101"/>
      <c r="C3" s="101"/>
      <c r="D3" s="101"/>
      <c r="E3" s="101"/>
      <c r="F3" s="101"/>
      <c r="G3" s="101"/>
      <c r="H3" s="101"/>
    </row>
    <row r="4" spans="1:8" x14ac:dyDescent="0.25">
      <c r="A4" s="102" t="s">
        <v>2</v>
      </c>
      <c r="B4" s="102"/>
      <c r="C4" s="102"/>
      <c r="D4" s="102"/>
      <c r="E4" s="102"/>
      <c r="F4" s="102"/>
      <c r="G4" s="102"/>
      <c r="H4" s="102"/>
    </row>
    <row r="5" spans="1:8" x14ac:dyDescent="0.25">
      <c r="A5" s="18"/>
      <c r="B5" s="18"/>
      <c r="C5" s="18"/>
      <c r="D5" s="18"/>
      <c r="E5" s="18"/>
      <c r="F5" s="18"/>
      <c r="G5" s="18"/>
      <c r="H5" s="18"/>
    </row>
    <row r="6" spans="1:8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</row>
    <row r="7" spans="1:8" ht="57" x14ac:dyDescent="0.25">
      <c r="A7" s="103"/>
      <c r="B7" s="104"/>
      <c r="C7" s="104"/>
      <c r="D7" s="104"/>
      <c r="E7" s="104"/>
      <c r="F7" s="90" t="s">
        <v>10</v>
      </c>
      <c r="G7" s="90" t="s">
        <v>11</v>
      </c>
      <c r="H7" s="104"/>
    </row>
    <row r="8" spans="1:8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</row>
    <row r="9" spans="1:8" x14ac:dyDescent="0.25">
      <c r="A9" s="20">
        <v>1</v>
      </c>
      <c r="B9" s="21" t="s">
        <v>249</v>
      </c>
      <c r="C9" s="22" t="s">
        <v>46</v>
      </c>
      <c r="D9" s="21">
        <f>F9/12</f>
        <v>120280.07916666666</v>
      </c>
      <c r="E9" s="21">
        <f>F9+G9</f>
        <v>1787616.53</v>
      </c>
      <c r="F9" s="21">
        <v>1443360.95</v>
      </c>
      <c r="G9" s="21">
        <v>344255.58</v>
      </c>
      <c r="H9" s="23">
        <f>D9/D17</f>
        <v>3.6428117524791923</v>
      </c>
    </row>
    <row r="10" spans="1:8" ht="45" x14ac:dyDescent="0.25">
      <c r="A10" s="20">
        <v>2</v>
      </c>
      <c r="B10" s="21" t="s">
        <v>250</v>
      </c>
      <c r="C10" s="22" t="s">
        <v>80</v>
      </c>
      <c r="D10" s="21">
        <f t="shared" ref="D10:D16" si="0">F10/12</f>
        <v>95110.957500000004</v>
      </c>
      <c r="E10" s="21">
        <f>F10+G10</f>
        <v>1268760.3500000001</v>
      </c>
      <c r="F10" s="21">
        <v>1141331.49</v>
      </c>
      <c r="G10" s="21">
        <v>127428.86</v>
      </c>
      <c r="H10" s="23">
        <f>D10/D17</f>
        <v>2.8805377928830542</v>
      </c>
    </row>
    <row r="11" spans="1:8" ht="30" x14ac:dyDescent="0.25">
      <c r="A11" s="20">
        <v>3</v>
      </c>
      <c r="B11" s="21" t="s">
        <v>251</v>
      </c>
      <c r="C11" s="22" t="s">
        <v>82</v>
      </c>
      <c r="D11" s="21">
        <f t="shared" si="0"/>
        <v>78947.430000000008</v>
      </c>
      <c r="E11" s="21">
        <f t="shared" ref="E11:E17" si="1">F11+G11</f>
        <v>1065433.54</v>
      </c>
      <c r="F11" s="21">
        <v>947369.16</v>
      </c>
      <c r="G11" s="21">
        <v>118064.38</v>
      </c>
      <c r="H11" s="23">
        <f>D11/D17</f>
        <v>2.3910079526429899</v>
      </c>
    </row>
    <row r="12" spans="1:8" ht="30" x14ac:dyDescent="0.25">
      <c r="A12" s="20">
        <v>4</v>
      </c>
      <c r="B12" s="21" t="s">
        <v>252</v>
      </c>
      <c r="C12" s="22" t="s">
        <v>73</v>
      </c>
      <c r="D12" s="21">
        <f t="shared" si="0"/>
        <v>77710.846666666665</v>
      </c>
      <c r="E12" s="21">
        <f t="shared" si="1"/>
        <v>1009203.7000000001</v>
      </c>
      <c r="F12" s="21">
        <v>932530.16</v>
      </c>
      <c r="G12" s="21">
        <v>76673.539999999994</v>
      </c>
      <c r="H12" s="23">
        <f>D12/D17</f>
        <v>2.3535566944562976</v>
      </c>
    </row>
    <row r="13" spans="1:8" ht="30" x14ac:dyDescent="0.25">
      <c r="A13" s="20">
        <v>5</v>
      </c>
      <c r="B13" s="21" t="s">
        <v>253</v>
      </c>
      <c r="C13" s="22" t="s">
        <v>97</v>
      </c>
      <c r="D13" s="21">
        <f t="shared" si="0"/>
        <v>66494.514166666675</v>
      </c>
      <c r="E13" s="21">
        <f t="shared" si="1"/>
        <v>947798.89</v>
      </c>
      <c r="F13" s="21">
        <v>797934.17</v>
      </c>
      <c r="G13" s="21">
        <v>149864.72</v>
      </c>
      <c r="H13" s="23">
        <f>D13/D17</f>
        <v>2.013857983466111</v>
      </c>
    </row>
    <row r="14" spans="1:8" ht="30" x14ac:dyDescent="0.25">
      <c r="A14" s="20">
        <v>6</v>
      </c>
      <c r="B14" s="21" t="s">
        <v>254</v>
      </c>
      <c r="C14" s="22" t="s">
        <v>255</v>
      </c>
      <c r="D14" s="21">
        <f t="shared" si="0"/>
        <v>69866.682499999995</v>
      </c>
      <c r="E14" s="21">
        <f t="shared" si="1"/>
        <v>961022.59</v>
      </c>
      <c r="F14" s="21">
        <v>838400.19</v>
      </c>
      <c r="G14" s="21">
        <v>122622.39999999999</v>
      </c>
      <c r="H14" s="23">
        <f>D14/D17</f>
        <v>2.1159877336384829</v>
      </c>
    </row>
    <row r="15" spans="1:8" ht="30" x14ac:dyDescent="0.25">
      <c r="A15" s="20">
        <v>7</v>
      </c>
      <c r="B15" s="21" t="s">
        <v>256</v>
      </c>
      <c r="C15" s="22" t="s">
        <v>257</v>
      </c>
      <c r="D15" s="21">
        <f t="shared" si="0"/>
        <v>88872.752500000002</v>
      </c>
      <c r="E15" s="21">
        <f t="shared" si="1"/>
        <v>1195963.07</v>
      </c>
      <c r="F15" s="21">
        <v>1066473.03</v>
      </c>
      <c r="G15" s="21">
        <v>129490.04</v>
      </c>
      <c r="H15" s="23">
        <f>D15/D17</f>
        <v>2.6916070352229595</v>
      </c>
    </row>
    <row r="16" spans="1:8" x14ac:dyDescent="0.25">
      <c r="A16" s="20">
        <v>8</v>
      </c>
      <c r="B16" s="21" t="s">
        <v>258</v>
      </c>
      <c r="C16" s="22" t="s">
        <v>17</v>
      </c>
      <c r="D16" s="21">
        <f t="shared" si="0"/>
        <v>90140.986666666679</v>
      </c>
      <c r="E16" s="21">
        <f t="shared" si="1"/>
        <v>1250891.1900000002</v>
      </c>
      <c r="F16" s="21">
        <v>1081691.8400000001</v>
      </c>
      <c r="G16" s="21">
        <v>169199.35</v>
      </c>
      <c r="H16" s="23">
        <f>D16/D17</f>
        <v>2.7300168729885916</v>
      </c>
    </row>
    <row r="17" spans="1:8" x14ac:dyDescent="0.25">
      <c r="A17" s="22"/>
      <c r="B17" s="106" t="s">
        <v>18</v>
      </c>
      <c r="C17" s="107"/>
      <c r="D17" s="21">
        <f>F17/721/12</f>
        <v>33018.472361303742</v>
      </c>
      <c r="E17" s="21">
        <f t="shared" si="1"/>
        <v>330336802.91000003</v>
      </c>
      <c r="F17" s="21">
        <v>285675822.87</v>
      </c>
      <c r="G17" s="21">
        <v>44660980.039999999</v>
      </c>
      <c r="H17" s="20"/>
    </row>
    <row r="18" spans="1:8" x14ac:dyDescent="0.25">
      <c r="A18" s="18"/>
      <c r="B18" s="18"/>
      <c r="C18" s="18"/>
      <c r="D18" s="18"/>
      <c r="E18" s="24"/>
      <c r="F18" s="24"/>
      <c r="G18" s="24"/>
      <c r="H18" s="18"/>
    </row>
    <row r="19" spans="1:8" x14ac:dyDescent="0.25">
      <c r="A19" s="108" t="s">
        <v>19</v>
      </c>
      <c r="B19" s="108"/>
      <c r="C19" s="108"/>
      <c r="D19" s="108"/>
      <c r="E19" s="108"/>
      <c r="F19" s="108"/>
      <c r="G19" s="108"/>
      <c r="H19" s="108"/>
    </row>
    <row r="20" spans="1:8" x14ac:dyDescent="0.25">
      <c r="A20" s="18"/>
      <c r="B20" s="18"/>
      <c r="C20" s="18"/>
      <c r="D20" s="18"/>
      <c r="E20" s="18"/>
      <c r="F20" s="18"/>
      <c r="G20" s="18"/>
      <c r="H20" s="18"/>
    </row>
    <row r="21" spans="1:8" x14ac:dyDescent="0.25">
      <c r="A21" s="18"/>
      <c r="B21" s="18"/>
      <c r="C21" s="18"/>
      <c r="D21" s="18"/>
      <c r="E21" s="18"/>
      <c r="F21" s="18"/>
      <c r="G21" s="18"/>
      <c r="H21" s="18"/>
    </row>
    <row r="22" spans="1:8" x14ac:dyDescent="0.25">
      <c r="A22" s="18"/>
      <c r="B22" s="18"/>
      <c r="C22" s="18"/>
      <c r="D22" s="18"/>
      <c r="E22" s="18"/>
      <c r="F22" s="18"/>
      <c r="G22" s="18"/>
      <c r="H22" s="18"/>
    </row>
    <row r="23" spans="1:8" x14ac:dyDescent="0.25">
      <c r="A23" s="18"/>
      <c r="B23" s="18" t="s">
        <v>20</v>
      </c>
      <c r="C23" s="25"/>
      <c r="D23" s="26"/>
      <c r="E23" s="89" t="s">
        <v>259</v>
      </c>
      <c r="F23" s="25"/>
      <c r="G23" s="18"/>
      <c r="H23" s="18"/>
    </row>
    <row r="24" spans="1:8" x14ac:dyDescent="0.25">
      <c r="A24" s="18"/>
      <c r="B24" s="18"/>
      <c r="C24" s="28" t="s">
        <v>22</v>
      </c>
      <c r="D24" s="18"/>
      <c r="E24" s="99" t="s">
        <v>23</v>
      </c>
      <c r="F24" s="99"/>
      <c r="G24" s="18"/>
      <c r="H24" s="18"/>
    </row>
    <row r="25" spans="1:8" x14ac:dyDescent="0.25">
      <c r="A25" s="18"/>
      <c r="B25" s="18"/>
      <c r="C25" s="18"/>
      <c r="D25" s="18"/>
      <c r="E25" s="18"/>
      <c r="F25" s="18"/>
      <c r="G25" s="18"/>
      <c r="H25" s="18"/>
    </row>
    <row r="26" spans="1:8" x14ac:dyDescent="0.25">
      <c r="A26" s="18"/>
      <c r="B26" s="18" t="s">
        <v>17</v>
      </c>
      <c r="C26" s="25"/>
      <c r="D26" s="26"/>
      <c r="E26" s="89" t="s">
        <v>260</v>
      </c>
      <c r="F26" s="25"/>
      <c r="G26" s="18"/>
      <c r="H26" s="18"/>
    </row>
    <row r="27" spans="1:8" x14ac:dyDescent="0.25">
      <c r="A27" s="18"/>
      <c r="B27" s="18"/>
      <c r="C27" s="28" t="s">
        <v>22</v>
      </c>
      <c r="D27" s="18"/>
      <c r="E27" s="99" t="s">
        <v>23</v>
      </c>
      <c r="F27" s="99"/>
      <c r="G27" s="18"/>
      <c r="H27" s="18"/>
    </row>
    <row r="28" spans="1:8" x14ac:dyDescent="0.25">
      <c r="A28" s="18"/>
      <c r="B28" s="18"/>
      <c r="C28" s="18"/>
      <c r="D28" s="18"/>
      <c r="E28" s="18"/>
      <c r="F28" s="18"/>
      <c r="G28" s="18"/>
      <c r="H28" s="18"/>
    </row>
    <row r="29" spans="1:8" x14ac:dyDescent="0.25">
      <c r="B29" s="85" t="s">
        <v>261</v>
      </c>
    </row>
    <row r="30" spans="1:8" x14ac:dyDescent="0.25">
      <c r="B30" s="85" t="s">
        <v>262</v>
      </c>
    </row>
  </sheetData>
  <mergeCells count="14">
    <mergeCell ref="B17:C17"/>
    <mergeCell ref="A19:H19"/>
    <mergeCell ref="E24:F24"/>
    <mergeCell ref="E27:F27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G19" sqref="G19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customHeight="1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309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98" t="s">
        <v>10</v>
      </c>
      <c r="G7" s="98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21" t="s">
        <v>310</v>
      </c>
      <c r="C9" s="22" t="s">
        <v>46</v>
      </c>
      <c r="D9" s="21">
        <v>90591</v>
      </c>
      <c r="E9" s="21">
        <f>F9+G9</f>
        <v>1580418</v>
      </c>
      <c r="F9" s="21">
        <v>905910</v>
      </c>
      <c r="G9" s="21">
        <v>674508</v>
      </c>
      <c r="H9" s="23">
        <v>3.5</v>
      </c>
      <c r="I9" s="18"/>
      <c r="J9" s="18"/>
    </row>
    <row r="10" spans="1:10" x14ac:dyDescent="0.25">
      <c r="A10" s="20">
        <v>2</v>
      </c>
      <c r="B10" s="21" t="s">
        <v>311</v>
      </c>
      <c r="C10" s="22" t="s">
        <v>46</v>
      </c>
      <c r="D10" s="21">
        <v>66972.5</v>
      </c>
      <c r="E10" s="21">
        <f t="shared" ref="E10:E16" si="0">F10+G10</f>
        <v>133945</v>
      </c>
      <c r="F10" s="21">
        <v>133945</v>
      </c>
      <c r="G10" s="21"/>
      <c r="H10" s="23">
        <v>2.6</v>
      </c>
      <c r="I10" s="18"/>
      <c r="J10" s="18"/>
    </row>
    <row r="11" spans="1:10" ht="45" x14ac:dyDescent="0.25">
      <c r="A11" s="20">
        <v>3</v>
      </c>
      <c r="B11" s="21" t="s">
        <v>312</v>
      </c>
      <c r="C11" s="22" t="s">
        <v>50</v>
      </c>
      <c r="D11" s="21">
        <v>89025.919999999998</v>
      </c>
      <c r="E11" s="21">
        <f t="shared" si="0"/>
        <v>1431017</v>
      </c>
      <c r="F11" s="21">
        <v>1068311</v>
      </c>
      <c r="G11" s="21">
        <v>362706</v>
      </c>
      <c r="H11" s="23">
        <v>3.4</v>
      </c>
      <c r="I11" s="18"/>
      <c r="J11" s="18"/>
    </row>
    <row r="12" spans="1:10" ht="30" x14ac:dyDescent="0.25">
      <c r="A12" s="20">
        <v>4</v>
      </c>
      <c r="B12" s="21" t="s">
        <v>313</v>
      </c>
      <c r="C12" s="22" t="s">
        <v>71</v>
      </c>
      <c r="D12" s="21">
        <v>82130.3</v>
      </c>
      <c r="E12" s="21">
        <f t="shared" si="0"/>
        <v>1013103</v>
      </c>
      <c r="F12" s="21">
        <v>821303</v>
      </c>
      <c r="G12" s="21">
        <v>191800</v>
      </c>
      <c r="H12" s="23">
        <v>3.2</v>
      </c>
      <c r="I12" s="18"/>
      <c r="J12" s="18"/>
    </row>
    <row r="13" spans="1:10" ht="45" x14ac:dyDescent="0.25">
      <c r="A13" s="20">
        <v>5</v>
      </c>
      <c r="B13" s="21" t="s">
        <v>314</v>
      </c>
      <c r="C13" s="22" t="s">
        <v>72</v>
      </c>
      <c r="D13" s="21">
        <v>54158.9</v>
      </c>
      <c r="E13" s="21">
        <f t="shared" si="0"/>
        <v>804845.82</v>
      </c>
      <c r="F13" s="21">
        <v>649906.81999999995</v>
      </c>
      <c r="G13" s="21">
        <v>154939</v>
      </c>
      <c r="H13" s="23">
        <v>2.1</v>
      </c>
      <c r="I13" s="18"/>
      <c r="J13" s="18"/>
    </row>
    <row r="14" spans="1:10" x14ac:dyDescent="0.25">
      <c r="A14" s="20">
        <v>6</v>
      </c>
      <c r="B14" s="21" t="s">
        <v>315</v>
      </c>
      <c r="C14" s="22" t="s">
        <v>141</v>
      </c>
      <c r="D14" s="21">
        <v>102931.75</v>
      </c>
      <c r="E14" s="21">
        <f t="shared" si="0"/>
        <v>1304339</v>
      </c>
      <c r="F14" s="21">
        <v>1235181</v>
      </c>
      <c r="G14" s="21">
        <v>69158</v>
      </c>
      <c r="H14" s="23">
        <v>3.9</v>
      </c>
      <c r="I14" s="18"/>
      <c r="J14" s="18"/>
    </row>
    <row r="15" spans="1:10" x14ac:dyDescent="0.25">
      <c r="A15" s="20">
        <v>7</v>
      </c>
      <c r="B15" s="21" t="s">
        <v>316</v>
      </c>
      <c r="C15" s="22" t="s">
        <v>17</v>
      </c>
      <c r="D15" s="21">
        <v>65045.83</v>
      </c>
      <c r="E15" s="21">
        <f t="shared" si="0"/>
        <v>884645</v>
      </c>
      <c r="F15" s="21">
        <v>780550</v>
      </c>
      <c r="G15" s="21">
        <v>104095</v>
      </c>
      <c r="H15" s="23">
        <v>2.5</v>
      </c>
      <c r="I15" s="18"/>
      <c r="J15" s="18"/>
    </row>
    <row r="16" spans="1:10" x14ac:dyDescent="0.25">
      <c r="A16" s="22"/>
      <c r="B16" s="106" t="s">
        <v>18</v>
      </c>
      <c r="C16" s="107"/>
      <c r="D16" s="21">
        <v>25955.06</v>
      </c>
      <c r="E16" s="21">
        <f t="shared" si="0"/>
        <v>110156383.79000001</v>
      </c>
      <c r="F16" s="21">
        <v>97487203.170000002</v>
      </c>
      <c r="G16" s="21">
        <v>12669180.619999999</v>
      </c>
      <c r="H16" s="20"/>
      <c r="I16" s="18"/>
      <c r="J16" s="18"/>
    </row>
    <row r="17" spans="1:10" x14ac:dyDescent="0.25">
      <c r="A17" s="18"/>
      <c r="B17" s="18"/>
      <c r="C17" s="18"/>
      <c r="D17" s="18"/>
      <c r="E17" s="24"/>
      <c r="F17" s="24"/>
      <c r="G17" s="24"/>
      <c r="H17" s="18"/>
      <c r="I17" s="18"/>
      <c r="J17" s="18"/>
    </row>
    <row r="18" spans="1:10" x14ac:dyDescent="0.25">
      <c r="A18" s="108" t="s">
        <v>19</v>
      </c>
      <c r="B18" s="108"/>
      <c r="C18" s="108"/>
      <c r="D18" s="108"/>
      <c r="E18" s="108"/>
      <c r="F18" s="108"/>
      <c r="G18" s="108"/>
      <c r="H18" s="108"/>
      <c r="I18" s="108"/>
      <c r="J18" s="10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18"/>
      <c r="B22" s="18" t="s">
        <v>20</v>
      </c>
      <c r="C22" s="25"/>
      <c r="D22" s="26"/>
      <c r="E22" s="97" t="s">
        <v>317</v>
      </c>
      <c r="F22" s="25"/>
      <c r="G22" s="18"/>
      <c r="H22" s="18"/>
      <c r="I22" s="18"/>
      <c r="J22" s="18"/>
    </row>
    <row r="23" spans="1:10" x14ac:dyDescent="0.25">
      <c r="A23" s="18"/>
      <c r="B23" s="18"/>
      <c r="C23" s="28" t="s">
        <v>22</v>
      </c>
      <c r="D23" s="18"/>
      <c r="E23" s="99" t="s">
        <v>23</v>
      </c>
      <c r="F23" s="99"/>
      <c r="G23" s="18"/>
      <c r="H23" s="18"/>
      <c r="I23" s="18"/>
      <c r="J23" s="18"/>
    </row>
    <row r="24" spans="1:10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 x14ac:dyDescent="0.25">
      <c r="A25" s="18"/>
      <c r="B25" s="18" t="s">
        <v>17</v>
      </c>
      <c r="C25" s="25"/>
      <c r="D25" s="26"/>
      <c r="E25" s="97" t="s">
        <v>318</v>
      </c>
      <c r="F25" s="25"/>
      <c r="G25" s="18"/>
      <c r="H25" s="18"/>
      <c r="I25" s="18"/>
      <c r="J25" s="18"/>
    </row>
    <row r="26" spans="1:10" x14ac:dyDescent="0.25">
      <c r="A26" s="18"/>
      <c r="B26" s="18"/>
      <c r="C26" s="28" t="s">
        <v>22</v>
      </c>
      <c r="D26" s="18"/>
      <c r="E26" s="99" t="s">
        <v>23</v>
      </c>
      <c r="F26" s="99"/>
      <c r="G26" s="18"/>
      <c r="H26" s="18"/>
      <c r="I26" s="18"/>
      <c r="J26" s="18"/>
    </row>
    <row r="27" spans="1:10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</row>
  </sheetData>
  <mergeCells count="14">
    <mergeCell ref="B16:C16"/>
    <mergeCell ref="A18:J18"/>
    <mergeCell ref="E23:F23"/>
    <mergeCell ref="E26:F26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D21" sqref="D21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263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19" t="s">
        <v>10</v>
      </c>
      <c r="G7" s="19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21" t="s">
        <v>264</v>
      </c>
      <c r="C9" s="22" t="s">
        <v>46</v>
      </c>
      <c r="D9" s="21">
        <f>F9/12</f>
        <v>98203.286666666667</v>
      </c>
      <c r="E9" s="21">
        <f t="shared" ref="E9:E14" si="0">F9+G9</f>
        <v>1411529.16</v>
      </c>
      <c r="F9" s="21">
        <v>1178439.44</v>
      </c>
      <c r="G9" s="21">
        <v>233089.72</v>
      </c>
      <c r="H9" s="23">
        <v>3.9</v>
      </c>
      <c r="I9" s="18"/>
      <c r="J9" s="18"/>
    </row>
    <row r="10" spans="1:10" ht="45" x14ac:dyDescent="0.25">
      <c r="A10" s="20">
        <v>2</v>
      </c>
      <c r="B10" s="21" t="s">
        <v>265</v>
      </c>
      <c r="C10" s="22" t="s">
        <v>50</v>
      </c>
      <c r="D10" s="21">
        <f t="shared" ref="D10:D12" si="1">F10/12</f>
        <v>56036.785000000003</v>
      </c>
      <c r="E10" s="21">
        <f t="shared" si="0"/>
        <v>797989.94000000006</v>
      </c>
      <c r="F10" s="21">
        <v>672441.42</v>
      </c>
      <c r="G10" s="21">
        <v>125548.52</v>
      </c>
      <c r="H10" s="23">
        <v>2.2000000000000002</v>
      </c>
      <c r="I10" s="18"/>
      <c r="J10" s="18"/>
    </row>
    <row r="11" spans="1:10" ht="30" x14ac:dyDescent="0.25">
      <c r="A11" s="20">
        <v>3</v>
      </c>
      <c r="B11" s="21" t="s">
        <v>266</v>
      </c>
      <c r="C11" s="22" t="s">
        <v>71</v>
      </c>
      <c r="D11" s="21">
        <f t="shared" si="1"/>
        <v>54255.491666666669</v>
      </c>
      <c r="E11" s="21">
        <f t="shared" si="0"/>
        <v>726847.06</v>
      </c>
      <c r="F11" s="21">
        <v>651065.9</v>
      </c>
      <c r="G11" s="21">
        <v>75781.16</v>
      </c>
      <c r="H11" s="23">
        <v>2.15</v>
      </c>
      <c r="I11" s="18"/>
      <c r="J11" s="18"/>
    </row>
    <row r="12" spans="1:10" ht="30" x14ac:dyDescent="0.25">
      <c r="A12" s="20">
        <v>4</v>
      </c>
      <c r="B12" s="21" t="s">
        <v>267</v>
      </c>
      <c r="C12" s="22" t="s">
        <v>268</v>
      </c>
      <c r="D12" s="21">
        <f t="shared" si="1"/>
        <v>50034.969166666669</v>
      </c>
      <c r="E12" s="21">
        <f t="shared" si="0"/>
        <v>665540.43000000005</v>
      </c>
      <c r="F12" s="21">
        <v>600419.63</v>
      </c>
      <c r="G12" s="21">
        <v>65120.800000000003</v>
      </c>
      <c r="H12" s="23">
        <v>1.98</v>
      </c>
      <c r="I12" s="18"/>
      <c r="J12" s="18"/>
    </row>
    <row r="13" spans="1:10" x14ac:dyDescent="0.25">
      <c r="A13" s="20">
        <v>5</v>
      </c>
      <c r="B13" s="21" t="s">
        <v>269</v>
      </c>
      <c r="C13" s="22" t="s">
        <v>17</v>
      </c>
      <c r="D13" s="21">
        <f>F13/12</f>
        <v>48944.262500000004</v>
      </c>
      <c r="E13" s="21">
        <f t="shared" si="0"/>
        <v>698822.25</v>
      </c>
      <c r="F13" s="21">
        <v>587331.15</v>
      </c>
      <c r="G13" s="21">
        <v>111491.1</v>
      </c>
      <c r="H13" s="23">
        <v>1.94</v>
      </c>
      <c r="I13" s="18"/>
      <c r="J13" s="18"/>
    </row>
    <row r="14" spans="1:10" x14ac:dyDescent="0.25">
      <c r="A14" s="22"/>
      <c r="B14" s="106" t="s">
        <v>18</v>
      </c>
      <c r="C14" s="107"/>
      <c r="D14" s="21">
        <f>F14/12/497.2</f>
        <v>25259.396465205147</v>
      </c>
      <c r="E14" s="21">
        <f t="shared" si="0"/>
        <v>171342067.81999999</v>
      </c>
      <c r="F14" s="21">
        <v>150707663.06999999</v>
      </c>
      <c r="G14" s="21">
        <v>20634404.75</v>
      </c>
      <c r="H14" s="20"/>
      <c r="I14" s="18"/>
      <c r="J14" s="18"/>
    </row>
    <row r="15" spans="1:10" x14ac:dyDescent="0.25">
      <c r="A15" s="18"/>
      <c r="B15" s="18"/>
      <c r="C15" s="18"/>
      <c r="D15" s="18"/>
      <c r="E15" s="24"/>
      <c r="F15" s="24"/>
      <c r="G15" s="24"/>
      <c r="H15" s="18"/>
      <c r="I15" s="18"/>
      <c r="J15" s="18"/>
    </row>
    <row r="16" spans="1:10" x14ac:dyDescent="0.25">
      <c r="A16" s="108" t="s">
        <v>19</v>
      </c>
      <c r="B16" s="108"/>
      <c r="C16" s="108"/>
      <c r="D16" s="108"/>
      <c r="E16" s="108"/>
      <c r="F16" s="108"/>
      <c r="G16" s="108"/>
      <c r="H16" s="108"/>
      <c r="I16" s="108"/>
      <c r="J16" s="108"/>
    </row>
    <row r="17" spans="1:1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18"/>
      <c r="B20" s="18" t="s">
        <v>20</v>
      </c>
      <c r="C20" s="25"/>
      <c r="D20" s="26"/>
      <c r="E20" s="27" t="s">
        <v>270</v>
      </c>
      <c r="F20" s="25"/>
      <c r="G20" s="18"/>
      <c r="H20" s="18"/>
      <c r="I20" s="18"/>
      <c r="J20" s="18"/>
    </row>
    <row r="21" spans="1:10" x14ac:dyDescent="0.25">
      <c r="A21" s="18"/>
      <c r="B21" s="18"/>
      <c r="C21" s="28" t="s">
        <v>22</v>
      </c>
      <c r="D21" s="18"/>
      <c r="E21" s="99" t="s">
        <v>23</v>
      </c>
      <c r="F21" s="99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 t="s">
        <v>17</v>
      </c>
      <c r="C23" s="25"/>
      <c r="D23" s="26"/>
      <c r="E23" s="27" t="s">
        <v>271</v>
      </c>
      <c r="F23" s="25"/>
      <c r="G23" s="18"/>
      <c r="H23" s="18"/>
      <c r="I23" s="18"/>
      <c r="J23" s="18"/>
    </row>
    <row r="24" spans="1:10" x14ac:dyDescent="0.25">
      <c r="A24" s="18"/>
      <c r="B24" s="18"/>
      <c r="C24" s="28" t="s">
        <v>22</v>
      </c>
      <c r="D24" s="18"/>
      <c r="E24" s="99" t="s">
        <v>23</v>
      </c>
      <c r="F24" s="99"/>
      <c r="G24" s="18"/>
      <c r="H24" s="18"/>
      <c r="I24" s="18"/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</sheetData>
  <mergeCells count="14">
    <mergeCell ref="B14:C14"/>
    <mergeCell ref="A16:J16"/>
    <mergeCell ref="E21:F21"/>
    <mergeCell ref="E24:F24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E33" sqref="E33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customHeight="1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ht="15" customHeight="1" x14ac:dyDescent="0.25">
      <c r="A3" s="109" t="s">
        <v>272</v>
      </c>
      <c r="B3" s="109"/>
      <c r="C3" s="109"/>
      <c r="D3" s="109"/>
      <c r="E3" s="109"/>
      <c r="F3" s="109"/>
      <c r="G3" s="109"/>
      <c r="H3" s="109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ht="15" customHeight="1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96" t="s">
        <v>10</v>
      </c>
      <c r="G7" s="96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21" t="s">
        <v>330</v>
      </c>
      <c r="C9" s="22" t="s">
        <v>27</v>
      </c>
      <c r="D9" s="86">
        <f>F9/12</f>
        <v>126410.33333333333</v>
      </c>
      <c r="E9" s="56">
        <f>F9+G9</f>
        <v>1713286</v>
      </c>
      <c r="F9" s="56">
        <v>1516924</v>
      </c>
      <c r="G9" s="56">
        <v>196362</v>
      </c>
      <c r="H9" s="30">
        <f>D9/D16</f>
        <v>3.5651855582946395</v>
      </c>
      <c r="I9" s="18"/>
      <c r="J9" s="18"/>
    </row>
    <row r="10" spans="1:10" ht="30" x14ac:dyDescent="0.25">
      <c r="A10" s="20">
        <v>2</v>
      </c>
      <c r="B10" s="21" t="s">
        <v>331</v>
      </c>
      <c r="C10" s="22" t="s">
        <v>71</v>
      </c>
      <c r="D10" s="86">
        <f>F10/12</f>
        <v>76076.333333333328</v>
      </c>
      <c r="E10" s="56">
        <f t="shared" ref="E10:E15" si="0">F10+G10</f>
        <v>1128990</v>
      </c>
      <c r="F10" s="56">
        <v>912916</v>
      </c>
      <c r="G10" s="56">
        <v>216074</v>
      </c>
      <c r="H10" s="30">
        <f>D10/D16</f>
        <v>2.145601848962841</v>
      </c>
      <c r="I10" s="18"/>
      <c r="J10" s="18"/>
    </row>
    <row r="11" spans="1:10" ht="45" x14ac:dyDescent="0.25">
      <c r="A11" s="20">
        <v>3</v>
      </c>
      <c r="B11" s="21" t="s">
        <v>332</v>
      </c>
      <c r="C11" s="22" t="s">
        <v>80</v>
      </c>
      <c r="D11" s="86">
        <f>F11/12</f>
        <v>100168.91666666667</v>
      </c>
      <c r="E11" s="56">
        <f t="shared" si="0"/>
        <v>1438689</v>
      </c>
      <c r="F11" s="56">
        <v>1202027</v>
      </c>
      <c r="G11" s="56">
        <v>236662</v>
      </c>
      <c r="H11" s="30">
        <f>D11/D16</f>
        <v>2.8250916335163994</v>
      </c>
      <c r="I11" s="18"/>
      <c r="J11" s="18"/>
    </row>
    <row r="12" spans="1:10" ht="30" x14ac:dyDescent="0.25">
      <c r="A12" s="20">
        <v>4</v>
      </c>
      <c r="B12" s="21" t="s">
        <v>333</v>
      </c>
      <c r="C12" s="22" t="s">
        <v>82</v>
      </c>
      <c r="D12" s="86">
        <f>F12/12</f>
        <v>64730</v>
      </c>
      <c r="E12" s="56">
        <f t="shared" si="0"/>
        <v>835468</v>
      </c>
      <c r="F12" s="56">
        <v>776760</v>
      </c>
      <c r="G12" s="56">
        <v>58708</v>
      </c>
      <c r="H12" s="30">
        <f>D12/D16</f>
        <v>1.8255980749602116</v>
      </c>
      <c r="I12" s="18"/>
      <c r="J12" s="18"/>
    </row>
    <row r="13" spans="1:10" ht="30" x14ac:dyDescent="0.25">
      <c r="A13" s="20">
        <v>5</v>
      </c>
      <c r="B13" s="21" t="s">
        <v>334</v>
      </c>
      <c r="C13" s="22" t="s">
        <v>55</v>
      </c>
      <c r="D13" s="86">
        <f>F13/12</f>
        <v>59774.916666666664</v>
      </c>
      <c r="E13" s="56">
        <f t="shared" si="0"/>
        <v>730626</v>
      </c>
      <c r="F13" s="56">
        <v>717299</v>
      </c>
      <c r="G13" s="56">
        <v>13327</v>
      </c>
      <c r="H13" s="30">
        <f>D13/D16</f>
        <v>1.6858484906160009</v>
      </c>
      <c r="I13" s="18"/>
      <c r="J13" s="18"/>
    </row>
    <row r="14" spans="1:10" x14ac:dyDescent="0.25">
      <c r="A14" s="20">
        <v>6</v>
      </c>
      <c r="B14" s="21" t="s">
        <v>335</v>
      </c>
      <c r="C14" s="22" t="s">
        <v>17</v>
      </c>
      <c r="D14" s="86">
        <f>F14/12/0.67</f>
        <v>60343.034825870644</v>
      </c>
      <c r="E14" s="56">
        <f t="shared" si="0"/>
        <v>485158</v>
      </c>
      <c r="F14" s="56">
        <v>485158</v>
      </c>
      <c r="G14" s="56"/>
      <c r="H14" s="30">
        <f>D14/D16</f>
        <v>1.7018712840316153</v>
      </c>
      <c r="I14" s="18"/>
      <c r="J14" s="18"/>
    </row>
    <row r="15" spans="1:10" x14ac:dyDescent="0.25">
      <c r="A15" s="20">
        <v>7</v>
      </c>
      <c r="B15" s="21" t="s">
        <v>336</v>
      </c>
      <c r="C15" s="22" t="s">
        <v>17</v>
      </c>
      <c r="D15" s="86">
        <f>F15/12/0.58</f>
        <v>69323.850574712647</v>
      </c>
      <c r="E15" s="56">
        <f t="shared" si="0"/>
        <v>496118</v>
      </c>
      <c r="F15" s="56">
        <v>482494</v>
      </c>
      <c r="G15" s="56">
        <v>13624</v>
      </c>
      <c r="H15" s="30">
        <f>D15/D16</f>
        <v>1.9551597120040904</v>
      </c>
      <c r="I15" s="18"/>
      <c r="J15" s="18"/>
    </row>
    <row r="16" spans="1:10" x14ac:dyDescent="0.25">
      <c r="A16" s="22"/>
      <c r="B16" s="106" t="s">
        <v>18</v>
      </c>
      <c r="C16" s="107"/>
      <c r="D16" s="86">
        <f>F16/12/796.95</f>
        <v>35456.873496873493</v>
      </c>
      <c r="E16" s="56">
        <f>F16+G16</f>
        <v>340554533</v>
      </c>
      <c r="F16" s="56">
        <v>339088264</v>
      </c>
      <c r="G16" s="56">
        <v>1466269</v>
      </c>
      <c r="H16" s="20"/>
      <c r="I16" s="18"/>
      <c r="J16" s="18"/>
    </row>
    <row r="17" spans="1:10" x14ac:dyDescent="0.25">
      <c r="A17" s="18"/>
      <c r="B17" s="18"/>
      <c r="C17" s="18"/>
      <c r="D17" s="18"/>
      <c r="E17" s="24"/>
      <c r="F17" s="24"/>
      <c r="G17" s="24"/>
      <c r="H17" s="18"/>
      <c r="I17" s="18"/>
      <c r="J17" s="18"/>
    </row>
    <row r="18" spans="1:10" ht="15" customHeight="1" x14ac:dyDescent="0.25">
      <c r="A18" s="108" t="s">
        <v>19</v>
      </c>
      <c r="B18" s="108"/>
      <c r="C18" s="108"/>
      <c r="D18" s="108"/>
      <c r="E18" s="108"/>
      <c r="F18" s="108"/>
      <c r="G18" s="108"/>
      <c r="H18" s="108"/>
      <c r="I18" s="108"/>
      <c r="J18" s="10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18"/>
      <c r="B22" s="18" t="s">
        <v>27</v>
      </c>
      <c r="C22" s="25"/>
      <c r="D22" s="26"/>
      <c r="E22" s="95" t="s">
        <v>273</v>
      </c>
      <c r="F22" s="25"/>
      <c r="G22" s="18"/>
      <c r="H22" s="18"/>
      <c r="I22" s="18"/>
      <c r="J22" s="18"/>
    </row>
    <row r="23" spans="1:10" x14ac:dyDescent="0.25">
      <c r="A23" s="18"/>
      <c r="B23" s="18"/>
      <c r="C23" s="28" t="s">
        <v>22</v>
      </c>
      <c r="D23" s="18"/>
      <c r="E23" s="99" t="s">
        <v>23</v>
      </c>
      <c r="F23" s="99"/>
      <c r="G23" s="18"/>
      <c r="H23" s="18"/>
      <c r="I23" s="18"/>
      <c r="J23" s="18"/>
    </row>
    <row r="24" spans="1:10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 x14ac:dyDescent="0.25">
      <c r="A25" s="18"/>
      <c r="B25" s="18" t="s">
        <v>17</v>
      </c>
      <c r="C25" s="25"/>
      <c r="D25" s="26"/>
      <c r="E25" s="95" t="s">
        <v>274</v>
      </c>
      <c r="F25" s="25"/>
      <c r="G25" s="18"/>
      <c r="H25" s="18"/>
      <c r="I25" s="18"/>
      <c r="J25" s="18"/>
    </row>
    <row r="26" spans="1:10" x14ac:dyDescent="0.25">
      <c r="A26" s="18"/>
      <c r="B26" s="18"/>
      <c r="C26" s="28" t="s">
        <v>22</v>
      </c>
      <c r="D26" s="18"/>
      <c r="E26" s="99" t="s">
        <v>23</v>
      </c>
      <c r="F26" s="99"/>
      <c r="G26" s="18"/>
      <c r="H26" s="18"/>
      <c r="I26" s="18"/>
      <c r="J26" s="18"/>
    </row>
    <row r="27" spans="1:10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</row>
  </sheetData>
  <mergeCells count="14">
    <mergeCell ref="B16:C16"/>
    <mergeCell ref="A18:J18"/>
    <mergeCell ref="E23:F23"/>
    <mergeCell ref="E26:F26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H15" sqref="H15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35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19" t="s">
        <v>10</v>
      </c>
      <c r="G7" s="19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21" t="s">
        <v>36</v>
      </c>
      <c r="C9" s="22" t="s">
        <v>46</v>
      </c>
      <c r="D9" s="21">
        <f>F9/12</f>
        <v>132615.91916666666</v>
      </c>
      <c r="E9" s="21">
        <f>F9+G9</f>
        <v>1651400</v>
      </c>
      <c r="F9" s="21">
        <v>1591391.03</v>
      </c>
      <c r="G9" s="21">
        <v>60008.97</v>
      </c>
      <c r="H9" s="30">
        <f>D9/$D$15</f>
        <v>3.9542681880428785</v>
      </c>
      <c r="I9" s="18"/>
      <c r="J9" s="18"/>
    </row>
    <row r="10" spans="1:10" ht="30" x14ac:dyDescent="0.25">
      <c r="A10" s="20">
        <v>2</v>
      </c>
      <c r="B10" s="21" t="s">
        <v>37</v>
      </c>
      <c r="C10" s="22" t="s">
        <v>71</v>
      </c>
      <c r="D10" s="21">
        <f t="shared" ref="D10:D13" si="0">F10/12</f>
        <v>94120.655833333338</v>
      </c>
      <c r="E10" s="21">
        <f t="shared" ref="E10:E14" si="1">F10+G10</f>
        <v>1394982.4300000002</v>
      </c>
      <c r="F10" s="21">
        <v>1129447.8700000001</v>
      </c>
      <c r="G10" s="21">
        <v>265534.56</v>
      </c>
      <c r="H10" s="30">
        <f t="shared" ref="H10:H15" si="2">D10/$D$15</f>
        <v>2.8064377002261907</v>
      </c>
      <c r="I10" s="18"/>
      <c r="J10" s="18"/>
    </row>
    <row r="11" spans="1:10" ht="45" x14ac:dyDescent="0.25">
      <c r="A11" s="20">
        <v>3</v>
      </c>
      <c r="B11" s="21" t="s">
        <v>38</v>
      </c>
      <c r="C11" s="22" t="s">
        <v>72</v>
      </c>
      <c r="D11" s="21">
        <f t="shared" si="0"/>
        <v>89383.67833333333</v>
      </c>
      <c r="E11" s="21">
        <f t="shared" si="1"/>
        <v>1231680.23</v>
      </c>
      <c r="F11" s="21">
        <v>1072604.1399999999</v>
      </c>
      <c r="G11" s="21">
        <v>159076.09</v>
      </c>
      <c r="H11" s="30">
        <f t="shared" si="2"/>
        <v>2.6651931230032697</v>
      </c>
      <c r="I11" s="18"/>
      <c r="J11" s="18"/>
    </row>
    <row r="12" spans="1:10" ht="30" x14ac:dyDescent="0.25">
      <c r="A12" s="20">
        <v>4</v>
      </c>
      <c r="B12" s="21" t="s">
        <v>39</v>
      </c>
      <c r="C12" s="22" t="s">
        <v>73</v>
      </c>
      <c r="D12" s="21">
        <f t="shared" si="0"/>
        <v>72841.55</v>
      </c>
      <c r="E12" s="21">
        <f t="shared" si="1"/>
        <v>1125429.6399999999</v>
      </c>
      <c r="F12" s="21">
        <v>874098.6</v>
      </c>
      <c r="G12" s="21">
        <v>251331.04</v>
      </c>
      <c r="H12" s="30">
        <f t="shared" si="2"/>
        <v>2.171949082302429</v>
      </c>
      <c r="I12" s="18"/>
      <c r="J12" s="18"/>
    </row>
    <row r="13" spans="1:10" ht="30" x14ac:dyDescent="0.25">
      <c r="A13" s="20">
        <v>5</v>
      </c>
      <c r="B13" s="21" t="s">
        <v>40</v>
      </c>
      <c r="C13" s="22" t="s">
        <v>55</v>
      </c>
      <c r="D13" s="21">
        <f t="shared" si="0"/>
        <v>84057</v>
      </c>
      <c r="E13" s="21">
        <f t="shared" si="1"/>
        <v>1008684</v>
      </c>
      <c r="F13" s="21">
        <v>1008684</v>
      </c>
      <c r="G13" s="21">
        <v>0</v>
      </c>
      <c r="H13" s="30">
        <f t="shared" si="2"/>
        <v>2.5063651722278735</v>
      </c>
      <c r="I13" s="18"/>
      <c r="J13" s="18"/>
    </row>
    <row r="14" spans="1:10" x14ac:dyDescent="0.25">
      <c r="A14" s="20">
        <v>6</v>
      </c>
      <c r="B14" s="21" t="s">
        <v>41</v>
      </c>
      <c r="C14" s="22" t="s">
        <v>17</v>
      </c>
      <c r="D14" s="21">
        <f>F14/12/0.7</f>
        <v>120581.66666666669</v>
      </c>
      <c r="E14" s="21">
        <f t="shared" si="1"/>
        <v>1012886</v>
      </c>
      <c r="F14" s="21">
        <v>1012886</v>
      </c>
      <c r="G14" s="21">
        <v>0</v>
      </c>
      <c r="H14" s="30">
        <f t="shared" si="2"/>
        <v>3.595437497680432</v>
      </c>
      <c r="I14" s="18"/>
      <c r="J14" s="18"/>
    </row>
    <row r="15" spans="1:10" x14ac:dyDescent="0.25">
      <c r="A15" s="22"/>
      <c r="B15" s="106" t="s">
        <v>18</v>
      </c>
      <c r="C15" s="107"/>
      <c r="D15" s="21">
        <f>F15/12/467</f>
        <v>33537.41144004283</v>
      </c>
      <c r="E15" s="21">
        <f>F15+G15</f>
        <v>190641268.83000001</v>
      </c>
      <c r="F15" s="21">
        <v>187943653.71000001</v>
      </c>
      <c r="G15" s="21">
        <v>2697615.12</v>
      </c>
      <c r="H15" s="23"/>
      <c r="I15" s="18"/>
      <c r="J15" s="18"/>
    </row>
    <row r="16" spans="1:10" x14ac:dyDescent="0.25">
      <c r="A16" s="18"/>
      <c r="B16" s="18"/>
      <c r="C16" s="18"/>
      <c r="D16" s="18"/>
      <c r="E16" s="24"/>
      <c r="F16" s="24"/>
      <c r="G16" s="24"/>
      <c r="H16" s="18"/>
      <c r="I16" s="18"/>
      <c r="J16" s="18"/>
    </row>
    <row r="17" spans="1:10" x14ac:dyDescent="0.25">
      <c r="A17" s="108" t="s">
        <v>19</v>
      </c>
      <c r="B17" s="108"/>
      <c r="C17" s="108"/>
      <c r="D17" s="108"/>
      <c r="E17" s="108"/>
      <c r="F17" s="108"/>
      <c r="G17" s="108"/>
      <c r="H17" s="108"/>
      <c r="I17" s="108"/>
      <c r="J17" s="10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 t="s">
        <v>20</v>
      </c>
      <c r="C21" s="25"/>
      <c r="D21" s="26"/>
      <c r="E21" s="27" t="s">
        <v>42</v>
      </c>
      <c r="F21" s="25"/>
      <c r="G21" s="18"/>
      <c r="H21" s="18"/>
      <c r="I21" s="18"/>
      <c r="J21" s="18"/>
    </row>
    <row r="22" spans="1:10" x14ac:dyDescent="0.25">
      <c r="A22" s="18"/>
      <c r="B22" s="18"/>
      <c r="C22" s="28" t="s">
        <v>22</v>
      </c>
      <c r="D22" s="18"/>
      <c r="E22" s="99" t="s">
        <v>23</v>
      </c>
      <c r="F22" s="99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8"/>
      <c r="B24" s="18" t="s">
        <v>17</v>
      </c>
      <c r="C24" s="25"/>
      <c r="D24" s="26"/>
      <c r="E24" s="27" t="s">
        <v>43</v>
      </c>
      <c r="F24" s="25"/>
      <c r="G24" s="18"/>
      <c r="H24" s="18"/>
      <c r="I24" s="18"/>
      <c r="J24" s="18"/>
    </row>
    <row r="25" spans="1:10" x14ac:dyDescent="0.25">
      <c r="A25" s="18"/>
      <c r="B25" s="18"/>
      <c r="C25" s="28" t="s">
        <v>22</v>
      </c>
      <c r="D25" s="18"/>
      <c r="E25" s="99" t="s">
        <v>23</v>
      </c>
      <c r="F25" s="99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</sheetData>
  <mergeCells count="14">
    <mergeCell ref="B15:C15"/>
    <mergeCell ref="A17:J17"/>
    <mergeCell ref="E22:F22"/>
    <mergeCell ref="E25:F25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D30" sqref="D30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275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19" t="s">
        <v>10</v>
      </c>
      <c r="G7" s="19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21" t="s">
        <v>276</v>
      </c>
      <c r="C9" s="22" t="s">
        <v>46</v>
      </c>
      <c r="D9" s="21">
        <f>E9/12</f>
        <v>98691.438333333339</v>
      </c>
      <c r="E9" s="21">
        <f>F9+G9</f>
        <v>1184297.26</v>
      </c>
      <c r="F9" s="21">
        <v>901406.44</v>
      </c>
      <c r="G9" s="21">
        <v>282890.82</v>
      </c>
      <c r="H9" s="23">
        <f>D9/D14</f>
        <v>2.8900059120826649</v>
      </c>
      <c r="I9" s="18"/>
      <c r="J9" s="18"/>
    </row>
    <row r="10" spans="1:10" ht="30" x14ac:dyDescent="0.25">
      <c r="A10" s="20">
        <v>2</v>
      </c>
      <c r="B10" s="21" t="s">
        <v>277</v>
      </c>
      <c r="C10" s="22" t="s">
        <v>71</v>
      </c>
      <c r="D10" s="21">
        <f t="shared" ref="D10:D13" si="0">E10/12</f>
        <v>74067.726666666669</v>
      </c>
      <c r="E10" s="21">
        <f>F10+G10</f>
        <v>888812.72</v>
      </c>
      <c r="F10" s="21">
        <v>729513</v>
      </c>
      <c r="G10" s="21">
        <v>159299.72</v>
      </c>
      <c r="H10" s="23">
        <f>D10/D14</f>
        <v>2.1689436447182815</v>
      </c>
      <c r="I10" s="18"/>
      <c r="J10" s="18"/>
    </row>
    <row r="11" spans="1:10" ht="45" x14ac:dyDescent="0.25">
      <c r="A11" s="20">
        <v>3</v>
      </c>
      <c r="B11" s="21" t="s">
        <v>278</v>
      </c>
      <c r="C11" s="22" t="s">
        <v>50</v>
      </c>
      <c r="D11" s="21">
        <f t="shared" si="0"/>
        <v>36785.005833333336</v>
      </c>
      <c r="E11" s="21">
        <f>F11+G11</f>
        <v>441420.07</v>
      </c>
      <c r="F11" s="21">
        <v>359021.89</v>
      </c>
      <c r="G11" s="21">
        <v>82398.179999999993</v>
      </c>
      <c r="H11" s="23">
        <f>D11/D14</f>
        <v>1.0771844663492203</v>
      </c>
      <c r="I11" s="18"/>
      <c r="J11" s="18"/>
    </row>
    <row r="12" spans="1:10" ht="30" x14ac:dyDescent="0.25">
      <c r="A12" s="20">
        <v>4</v>
      </c>
      <c r="B12" s="21" t="s">
        <v>279</v>
      </c>
      <c r="C12" s="22" t="s">
        <v>55</v>
      </c>
      <c r="D12" s="21">
        <f t="shared" si="0"/>
        <v>82164.23</v>
      </c>
      <c r="E12" s="21">
        <f t="shared" ref="E12:E13" si="1">F12+G12</f>
        <v>985970.76</v>
      </c>
      <c r="F12" s="21">
        <v>806238.97</v>
      </c>
      <c r="G12" s="21">
        <v>179731.79</v>
      </c>
      <c r="H12" s="23">
        <f>D12/D14</f>
        <v>2.406035563690013</v>
      </c>
      <c r="I12" s="18"/>
      <c r="J12" s="18"/>
    </row>
    <row r="13" spans="1:10" x14ac:dyDescent="0.25">
      <c r="A13" s="20">
        <v>5</v>
      </c>
      <c r="B13" s="21" t="s">
        <v>280</v>
      </c>
      <c r="C13" s="22" t="s">
        <v>17</v>
      </c>
      <c r="D13" s="21">
        <f t="shared" si="0"/>
        <v>72569.039166666669</v>
      </c>
      <c r="E13" s="21">
        <f t="shared" si="1"/>
        <v>870828.47</v>
      </c>
      <c r="F13" s="21">
        <v>672785.59</v>
      </c>
      <c r="G13" s="21">
        <v>198042.88</v>
      </c>
      <c r="H13" s="23">
        <f>D13/D14</f>
        <v>2.1250572062540289</v>
      </c>
      <c r="I13" s="18"/>
      <c r="J13" s="18"/>
    </row>
    <row r="14" spans="1:10" x14ac:dyDescent="0.25">
      <c r="A14" s="22"/>
      <c r="B14" s="106" t="s">
        <v>18</v>
      </c>
      <c r="C14" s="107"/>
      <c r="D14" s="21">
        <f>E14/12/360.8</f>
        <v>34149.216761363634</v>
      </c>
      <c r="E14" s="21">
        <f>F14+G14</f>
        <v>147852448.88999999</v>
      </c>
      <c r="F14" s="21">
        <v>125791933.73999999</v>
      </c>
      <c r="G14" s="21">
        <v>22060515.149999999</v>
      </c>
      <c r="H14" s="20"/>
      <c r="I14" s="18"/>
      <c r="J14" s="18"/>
    </row>
    <row r="15" spans="1:10" x14ac:dyDescent="0.25">
      <c r="A15" s="18"/>
      <c r="B15" s="18"/>
      <c r="C15" s="18"/>
      <c r="D15" s="18"/>
      <c r="E15" s="24"/>
      <c r="F15" s="24"/>
      <c r="G15" s="24"/>
      <c r="H15" s="18"/>
      <c r="I15" s="18"/>
      <c r="J15" s="18"/>
    </row>
    <row r="16" spans="1:10" x14ac:dyDescent="0.25">
      <c r="A16" s="108" t="s">
        <v>19</v>
      </c>
      <c r="B16" s="108"/>
      <c r="C16" s="108"/>
      <c r="D16" s="108"/>
      <c r="E16" s="108"/>
      <c r="F16" s="108"/>
      <c r="G16" s="108"/>
      <c r="H16" s="108"/>
      <c r="I16" s="108"/>
      <c r="J16" s="108"/>
    </row>
    <row r="17" spans="1:1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18"/>
      <c r="B20" s="18" t="s">
        <v>20</v>
      </c>
      <c r="C20" s="25"/>
      <c r="D20" s="26"/>
      <c r="E20" s="27" t="s">
        <v>281</v>
      </c>
      <c r="F20" s="25"/>
      <c r="G20" s="18"/>
      <c r="H20" s="18"/>
      <c r="I20" s="18"/>
      <c r="J20" s="18"/>
    </row>
    <row r="21" spans="1:10" x14ac:dyDescent="0.25">
      <c r="A21" s="18"/>
      <c r="B21" s="18"/>
      <c r="C21" s="28" t="s">
        <v>22</v>
      </c>
      <c r="D21" s="18"/>
      <c r="E21" s="99" t="s">
        <v>23</v>
      </c>
      <c r="F21" s="99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 t="s">
        <v>17</v>
      </c>
      <c r="C23" s="25"/>
      <c r="D23" s="26"/>
      <c r="E23" s="27" t="s">
        <v>282</v>
      </c>
      <c r="F23" s="25"/>
      <c r="G23" s="18"/>
      <c r="H23" s="18"/>
      <c r="I23" s="18"/>
      <c r="J23" s="18"/>
    </row>
    <row r="24" spans="1:10" x14ac:dyDescent="0.25">
      <c r="A24" s="18"/>
      <c r="B24" s="18"/>
      <c r="C24" s="28" t="s">
        <v>22</v>
      </c>
      <c r="D24" s="18"/>
      <c r="E24" s="99" t="s">
        <v>23</v>
      </c>
      <c r="F24" s="99"/>
      <c r="G24" s="18"/>
      <c r="H24" s="18"/>
      <c r="I24" s="18"/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</sheetData>
  <mergeCells count="14">
    <mergeCell ref="B14:C14"/>
    <mergeCell ref="A16:J16"/>
    <mergeCell ref="E21:F21"/>
    <mergeCell ref="E24:F24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C14" sqref="C14"/>
    </sheetView>
  </sheetViews>
  <sheetFormatPr defaultRowHeight="15" x14ac:dyDescent="0.25"/>
  <cols>
    <col min="1" max="1" width="9.140625" style="17"/>
    <col min="2" max="2" width="33.5703125" style="17" customWidth="1"/>
    <col min="3" max="3" width="40.710937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283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19" t="s">
        <v>10</v>
      </c>
      <c r="G7" s="19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21" t="s">
        <v>284</v>
      </c>
      <c r="C9" s="22" t="s">
        <v>46</v>
      </c>
      <c r="D9" s="21">
        <v>113126.29</v>
      </c>
      <c r="E9" s="21">
        <v>1469363.53</v>
      </c>
      <c r="F9" s="21">
        <v>1357515.53</v>
      </c>
      <c r="G9" s="21">
        <v>111848</v>
      </c>
      <c r="H9" s="23">
        <v>3.11</v>
      </c>
      <c r="I9" s="18"/>
      <c r="J9" s="18"/>
    </row>
    <row r="10" spans="1:10" ht="30" x14ac:dyDescent="0.25">
      <c r="A10" s="20">
        <v>2</v>
      </c>
      <c r="B10" s="21" t="s">
        <v>285</v>
      </c>
      <c r="C10" s="22" t="s">
        <v>322</v>
      </c>
      <c r="D10" s="21">
        <v>87098.91</v>
      </c>
      <c r="E10" s="21">
        <v>1045186.89</v>
      </c>
      <c r="F10" s="21">
        <v>1045186.89</v>
      </c>
      <c r="G10" s="21"/>
      <c r="H10" s="23">
        <v>2.4</v>
      </c>
      <c r="I10" s="18"/>
      <c r="J10" s="18"/>
    </row>
    <row r="11" spans="1:10" ht="30" x14ac:dyDescent="0.25">
      <c r="A11" s="20">
        <v>3</v>
      </c>
      <c r="B11" s="21" t="s">
        <v>286</v>
      </c>
      <c r="C11" s="22" t="s">
        <v>73</v>
      </c>
      <c r="D11" s="21">
        <v>69971.08</v>
      </c>
      <c r="E11" s="21">
        <v>839652.99</v>
      </c>
      <c r="F11" s="21">
        <v>839652.99</v>
      </c>
      <c r="G11" s="21"/>
      <c r="H11" s="23">
        <v>1.92</v>
      </c>
      <c r="I11" s="18"/>
      <c r="J11" s="18"/>
    </row>
    <row r="12" spans="1:10" ht="30" x14ac:dyDescent="0.25">
      <c r="A12" s="20">
        <v>4</v>
      </c>
      <c r="B12" s="21" t="s">
        <v>287</v>
      </c>
      <c r="C12" s="22" t="s">
        <v>97</v>
      </c>
      <c r="D12" s="21">
        <v>106108.11</v>
      </c>
      <c r="E12" s="21">
        <v>1273297.3500000001</v>
      </c>
      <c r="F12" s="21">
        <v>1273297.3500000001</v>
      </c>
      <c r="G12" s="21"/>
      <c r="H12" s="23">
        <v>2.92</v>
      </c>
      <c r="I12" s="18"/>
      <c r="J12" s="18"/>
    </row>
    <row r="13" spans="1:10" ht="30" x14ac:dyDescent="0.25">
      <c r="A13" s="20">
        <v>5</v>
      </c>
      <c r="B13" s="21" t="s">
        <v>288</v>
      </c>
      <c r="C13" s="22" t="s">
        <v>99</v>
      </c>
      <c r="D13" s="21">
        <v>68509.84</v>
      </c>
      <c r="E13" s="21">
        <v>822118.13</v>
      </c>
      <c r="F13" s="21">
        <v>822118.13</v>
      </c>
      <c r="G13" s="21"/>
      <c r="H13" s="23">
        <v>1.88</v>
      </c>
      <c r="I13" s="18"/>
      <c r="J13" s="18"/>
    </row>
    <row r="14" spans="1:10" x14ac:dyDescent="0.25">
      <c r="A14" s="20">
        <v>5</v>
      </c>
      <c r="B14" s="21" t="s">
        <v>289</v>
      </c>
      <c r="C14" s="22" t="s">
        <v>290</v>
      </c>
      <c r="D14" s="21">
        <v>73492.320000000007</v>
      </c>
      <c r="E14" s="21">
        <v>881907.79</v>
      </c>
      <c r="F14" s="21">
        <v>881907.79</v>
      </c>
      <c r="G14" s="21"/>
      <c r="H14" s="23">
        <v>2.02</v>
      </c>
      <c r="I14" s="18"/>
      <c r="J14" s="18"/>
    </row>
    <row r="15" spans="1:10" x14ac:dyDescent="0.25">
      <c r="A15" s="20">
        <v>6</v>
      </c>
      <c r="B15" s="21" t="s">
        <v>291</v>
      </c>
      <c r="C15" s="22" t="s">
        <v>17</v>
      </c>
      <c r="D15" s="21">
        <v>73817.119999999995</v>
      </c>
      <c r="E15" s="21">
        <v>885805.45</v>
      </c>
      <c r="F15" s="21">
        <v>885805.45</v>
      </c>
      <c r="G15" s="21"/>
      <c r="H15" s="23">
        <v>2.0299999999999998</v>
      </c>
      <c r="I15" s="18"/>
      <c r="J15" s="18"/>
    </row>
    <row r="16" spans="1:10" x14ac:dyDescent="0.25">
      <c r="A16" s="22"/>
      <c r="B16" s="106" t="s">
        <v>18</v>
      </c>
      <c r="C16" s="107"/>
      <c r="D16" s="21">
        <v>36348.699999999997</v>
      </c>
      <c r="E16" s="21">
        <v>333074700</v>
      </c>
      <c r="F16" s="21">
        <v>332328913.94999999</v>
      </c>
      <c r="G16" s="21">
        <v>745786.05</v>
      </c>
      <c r="H16" s="20"/>
      <c r="I16" s="18"/>
      <c r="J16" s="18"/>
    </row>
    <row r="17" spans="1:10" x14ac:dyDescent="0.25">
      <c r="A17" s="18"/>
      <c r="B17" s="18"/>
      <c r="C17" s="18"/>
      <c r="D17" s="18"/>
      <c r="E17" s="24"/>
      <c r="F17" s="24"/>
      <c r="G17" s="24"/>
      <c r="H17" s="18"/>
      <c r="I17" s="18"/>
      <c r="J17" s="18"/>
    </row>
    <row r="18" spans="1:10" x14ac:dyDescent="0.25">
      <c r="A18" s="108" t="s">
        <v>19</v>
      </c>
      <c r="B18" s="108"/>
      <c r="C18" s="108"/>
      <c r="D18" s="108"/>
      <c r="E18" s="108"/>
      <c r="F18" s="108"/>
      <c r="G18" s="108"/>
      <c r="H18" s="108"/>
      <c r="I18" s="108"/>
      <c r="J18" s="10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18"/>
      <c r="B22" s="18" t="s">
        <v>20</v>
      </c>
      <c r="C22" s="25"/>
      <c r="D22" s="26"/>
      <c r="E22" s="27" t="s">
        <v>292</v>
      </c>
      <c r="F22" s="25"/>
      <c r="G22" s="18"/>
      <c r="H22" s="18"/>
      <c r="I22" s="18"/>
      <c r="J22" s="18"/>
    </row>
    <row r="23" spans="1:10" x14ac:dyDescent="0.25">
      <c r="A23" s="18"/>
      <c r="B23" s="18"/>
      <c r="C23" s="28" t="s">
        <v>22</v>
      </c>
      <c r="D23" s="18"/>
      <c r="E23" s="99" t="s">
        <v>23</v>
      </c>
      <c r="F23" s="99"/>
      <c r="G23" s="18"/>
      <c r="H23" s="18"/>
      <c r="I23" s="18"/>
      <c r="J23" s="18"/>
    </row>
    <row r="24" spans="1:10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 x14ac:dyDescent="0.25">
      <c r="A25" s="18"/>
      <c r="B25" s="18" t="s">
        <v>17</v>
      </c>
      <c r="C25" s="25"/>
      <c r="D25" s="26"/>
      <c r="E25" s="27" t="s">
        <v>293</v>
      </c>
      <c r="F25" s="25"/>
      <c r="G25" s="18"/>
      <c r="H25" s="18"/>
      <c r="I25" s="18"/>
      <c r="J25" s="18"/>
    </row>
    <row r="26" spans="1:10" x14ac:dyDescent="0.25">
      <c r="A26" s="18"/>
      <c r="B26" s="18"/>
      <c r="C26" s="28" t="s">
        <v>22</v>
      </c>
      <c r="D26" s="18"/>
      <c r="E26" s="99" t="s">
        <v>23</v>
      </c>
      <c r="F26" s="99"/>
      <c r="G26" s="18"/>
      <c r="H26" s="18"/>
      <c r="I26" s="18"/>
      <c r="J26" s="18"/>
    </row>
    <row r="27" spans="1:10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</row>
  </sheetData>
  <mergeCells count="14">
    <mergeCell ref="B16:C16"/>
    <mergeCell ref="A18:J18"/>
    <mergeCell ref="E23:F23"/>
    <mergeCell ref="E26:F26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D39" sqref="D39"/>
    </sheetView>
  </sheetViews>
  <sheetFormatPr defaultRowHeight="15" x14ac:dyDescent="0.25"/>
  <cols>
    <col min="1" max="1" width="9.140625" style="17"/>
    <col min="2" max="2" width="33.5703125" style="17" customWidth="1"/>
    <col min="3" max="3" width="42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customHeight="1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9" t="s">
        <v>294</v>
      </c>
      <c r="B3" s="109"/>
      <c r="C3" s="109"/>
      <c r="D3" s="109"/>
      <c r="E3" s="109"/>
      <c r="F3" s="109"/>
      <c r="G3" s="109"/>
      <c r="H3" s="109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53" t="s">
        <v>10</v>
      </c>
      <c r="G7" s="53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21" t="s">
        <v>295</v>
      </c>
      <c r="C9" s="22" t="s">
        <v>27</v>
      </c>
      <c r="D9" s="21">
        <f>F9/11</f>
        <v>180850.85272727272</v>
      </c>
      <c r="E9" s="21">
        <v>2426229.6800000002</v>
      </c>
      <c r="F9" s="87">
        <v>1989359.38</v>
      </c>
      <c r="G9" s="87">
        <v>436870.3</v>
      </c>
      <c r="H9" s="23">
        <f>D9/D18</f>
        <v>4.9956704146875337</v>
      </c>
      <c r="I9" s="18"/>
      <c r="J9" s="18"/>
    </row>
    <row r="10" spans="1:10" x14ac:dyDescent="0.25">
      <c r="A10" s="20">
        <v>2</v>
      </c>
      <c r="B10" s="21" t="s">
        <v>296</v>
      </c>
      <c r="C10" s="22" t="s">
        <v>46</v>
      </c>
      <c r="D10" s="21">
        <f>F10</f>
        <v>90479.7</v>
      </c>
      <c r="E10" s="21">
        <v>90479.7</v>
      </c>
      <c r="F10" s="21">
        <v>90479.7</v>
      </c>
      <c r="G10" s="21">
        <v>0</v>
      </c>
      <c r="H10" s="23">
        <f>D10/D18</f>
        <v>2.4993344161967559</v>
      </c>
      <c r="I10" s="18"/>
      <c r="J10" s="18"/>
    </row>
    <row r="11" spans="1:10" ht="30" x14ac:dyDescent="0.25">
      <c r="A11" s="20">
        <v>3</v>
      </c>
      <c r="B11" s="88" t="s">
        <v>297</v>
      </c>
      <c r="C11" s="22" t="s">
        <v>71</v>
      </c>
      <c r="D11" s="21">
        <f>F11/12</f>
        <v>90149.592500000013</v>
      </c>
      <c r="E11" s="87">
        <v>1088920.2000000002</v>
      </c>
      <c r="F11" s="87">
        <v>1081795.1100000001</v>
      </c>
      <c r="G11" s="21">
        <v>7125.09</v>
      </c>
      <c r="H11" s="23">
        <f>D11/D18</f>
        <v>2.4902158068756082</v>
      </c>
      <c r="I11" s="18"/>
      <c r="J11" s="18"/>
    </row>
    <row r="12" spans="1:10" ht="30" x14ac:dyDescent="0.25">
      <c r="A12" s="20">
        <v>4</v>
      </c>
      <c r="B12" s="88" t="s">
        <v>298</v>
      </c>
      <c r="C12" s="22" t="s">
        <v>82</v>
      </c>
      <c r="D12" s="21">
        <f>F12/12</f>
        <v>92252.267500000002</v>
      </c>
      <c r="E12" s="87">
        <v>1122060.3299999998</v>
      </c>
      <c r="F12" s="87">
        <v>1107027.21</v>
      </c>
      <c r="G12" s="21">
        <v>15033.12</v>
      </c>
      <c r="H12" s="23">
        <f>D12/D18</f>
        <v>2.5482983159199186</v>
      </c>
      <c r="I12" s="18"/>
      <c r="J12" s="18"/>
    </row>
    <row r="13" spans="1:10" ht="30" x14ac:dyDescent="0.25">
      <c r="A13" s="20">
        <v>5</v>
      </c>
      <c r="B13" s="88" t="s">
        <v>299</v>
      </c>
      <c r="C13" s="22" t="s">
        <v>73</v>
      </c>
      <c r="D13" s="21">
        <f t="shared" ref="D13:D17" si="0">F13/12</f>
        <v>100128.25833333335</v>
      </c>
      <c r="E13" s="87">
        <v>1216974.7000000002</v>
      </c>
      <c r="F13" s="87">
        <v>1201539.1000000001</v>
      </c>
      <c r="G13" s="21">
        <v>15435.6</v>
      </c>
      <c r="H13" s="23">
        <f>D13/D18</f>
        <v>2.7658580000413315</v>
      </c>
      <c r="I13" s="18"/>
      <c r="J13" s="18"/>
    </row>
    <row r="14" spans="1:10" ht="30" x14ac:dyDescent="0.25">
      <c r="A14" s="20">
        <v>6</v>
      </c>
      <c r="B14" s="88" t="s">
        <v>300</v>
      </c>
      <c r="C14" s="22" t="s">
        <v>55</v>
      </c>
      <c r="D14" s="21">
        <f t="shared" si="0"/>
        <v>80597.119166666656</v>
      </c>
      <c r="E14" s="87">
        <v>967165.42999999993</v>
      </c>
      <c r="F14" s="87">
        <v>967165.42999999993</v>
      </c>
      <c r="G14" s="21">
        <v>0</v>
      </c>
      <c r="H14" s="23">
        <f>D14/D18</f>
        <v>2.2263463934955703</v>
      </c>
      <c r="I14" s="18"/>
      <c r="J14" s="18"/>
    </row>
    <row r="15" spans="1:10" ht="30" x14ac:dyDescent="0.25">
      <c r="A15" s="20">
        <v>7</v>
      </c>
      <c r="B15" s="88" t="s">
        <v>301</v>
      </c>
      <c r="C15" s="22" t="s">
        <v>209</v>
      </c>
      <c r="D15" s="21">
        <f t="shared" si="0"/>
        <v>63686.329999999994</v>
      </c>
      <c r="E15" s="87">
        <v>779126.1</v>
      </c>
      <c r="F15" s="87">
        <v>764235.96</v>
      </c>
      <c r="G15" s="21">
        <v>14890.14</v>
      </c>
      <c r="H15" s="23">
        <f>D15/D18</f>
        <v>1.759217110691834</v>
      </c>
      <c r="I15" s="18"/>
      <c r="J15" s="18"/>
    </row>
    <row r="16" spans="1:10" ht="45" x14ac:dyDescent="0.25">
      <c r="A16" s="20">
        <v>8</v>
      </c>
      <c r="B16" s="88" t="s">
        <v>302</v>
      </c>
      <c r="C16" s="22" t="s">
        <v>80</v>
      </c>
      <c r="D16" s="21">
        <f t="shared" si="0"/>
        <v>97045.783333333326</v>
      </c>
      <c r="E16" s="87">
        <v>1172267.2</v>
      </c>
      <c r="F16" s="21">
        <v>1164549.3999999999</v>
      </c>
      <c r="G16" s="21">
        <v>7717.8</v>
      </c>
      <c r="H16" s="23">
        <f>D16/D18</f>
        <v>2.6807103276400506</v>
      </c>
      <c r="I16" s="18"/>
      <c r="J16" s="18"/>
    </row>
    <row r="17" spans="1:10" x14ac:dyDescent="0.25">
      <c r="A17" s="20">
        <v>9</v>
      </c>
      <c r="B17" s="21" t="s">
        <v>303</v>
      </c>
      <c r="C17" s="22" t="s">
        <v>17</v>
      </c>
      <c r="D17" s="21">
        <f t="shared" si="0"/>
        <v>79755.244166666656</v>
      </c>
      <c r="E17" s="87">
        <v>957062.92999999993</v>
      </c>
      <c r="F17" s="87">
        <v>957062.92999999993</v>
      </c>
      <c r="G17" s="21">
        <v>0</v>
      </c>
      <c r="H17" s="23">
        <f>D17/D18</f>
        <v>2.2030911532412851</v>
      </c>
      <c r="I17" s="18"/>
      <c r="J17" s="18"/>
    </row>
    <row r="18" spans="1:10" x14ac:dyDescent="0.25">
      <c r="A18" s="22">
        <v>10</v>
      </c>
      <c r="B18" s="106" t="s">
        <v>304</v>
      </c>
      <c r="C18" s="107"/>
      <c r="D18" s="21">
        <f>(F18/12)/1473.8</f>
        <v>36201.518057628804</v>
      </c>
      <c r="E18" s="21">
        <v>643387606.54999995</v>
      </c>
      <c r="F18" s="21">
        <v>640245567.75999999</v>
      </c>
      <c r="G18" s="21">
        <v>3142038.79</v>
      </c>
      <c r="H18" s="20"/>
      <c r="I18" s="18"/>
      <c r="J18" s="18"/>
    </row>
    <row r="19" spans="1:10" x14ac:dyDescent="0.25">
      <c r="A19" s="18"/>
      <c r="B19" s="18"/>
      <c r="C19" s="18"/>
      <c r="D19" s="18"/>
      <c r="E19" s="24"/>
      <c r="F19" s="24"/>
      <c r="G19" s="24"/>
      <c r="H19" s="18"/>
      <c r="I19" s="18"/>
      <c r="J19" s="18"/>
    </row>
    <row r="20" spans="1:10" x14ac:dyDescent="0.25">
      <c r="A20" s="108" t="s">
        <v>19</v>
      </c>
      <c r="B20" s="108"/>
      <c r="C20" s="108"/>
      <c r="D20" s="108"/>
      <c r="E20" s="108"/>
      <c r="F20" s="108"/>
      <c r="G20" s="108"/>
      <c r="H20" s="108"/>
      <c r="I20" s="108"/>
      <c r="J20" s="10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ht="15" customHeight="1" x14ac:dyDescent="0.25">
      <c r="A22" s="18"/>
      <c r="B22" s="18" t="s">
        <v>305</v>
      </c>
      <c r="C22" s="18"/>
      <c r="D22" s="18"/>
      <c r="E22" s="18"/>
      <c r="F22" s="18"/>
      <c r="G22" s="18"/>
      <c r="H22" s="18"/>
      <c r="I22" s="18"/>
      <c r="J22" s="18"/>
    </row>
    <row r="23" spans="1:10" ht="15" customHeight="1" x14ac:dyDescent="0.25">
      <c r="A23" s="18"/>
      <c r="B23" s="108" t="s">
        <v>306</v>
      </c>
      <c r="C23" s="108"/>
      <c r="D23" s="108"/>
      <c r="E23" s="108"/>
      <c r="F23" s="108"/>
      <c r="G23" s="108"/>
      <c r="H23" s="18"/>
      <c r="I23" s="18"/>
      <c r="J23" s="18"/>
    </row>
    <row r="24" spans="1:10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 x14ac:dyDescent="0.25">
      <c r="A25" s="18"/>
      <c r="B25" s="18" t="s">
        <v>20</v>
      </c>
      <c r="C25" s="25"/>
      <c r="D25" s="26"/>
      <c r="E25" s="52" t="s">
        <v>307</v>
      </c>
      <c r="F25" s="25"/>
      <c r="G25" s="18"/>
      <c r="H25" s="18"/>
      <c r="I25" s="18"/>
      <c r="J25" s="18"/>
    </row>
    <row r="26" spans="1:10" x14ac:dyDescent="0.25">
      <c r="A26" s="18"/>
      <c r="B26" s="18"/>
      <c r="C26" s="28" t="s">
        <v>22</v>
      </c>
      <c r="D26" s="18"/>
      <c r="E26" s="99" t="s">
        <v>23</v>
      </c>
      <c r="F26" s="99"/>
      <c r="G26" s="18"/>
      <c r="H26" s="18"/>
      <c r="I26" s="18"/>
      <c r="J26" s="18"/>
    </row>
    <row r="27" spans="1:10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 x14ac:dyDescent="0.25">
      <c r="A28" s="18"/>
      <c r="B28" s="18" t="s">
        <v>17</v>
      </c>
      <c r="C28" s="25"/>
      <c r="D28" s="26"/>
      <c r="E28" s="52" t="s">
        <v>308</v>
      </c>
      <c r="F28" s="25"/>
      <c r="G28" s="18"/>
      <c r="H28" s="18"/>
      <c r="I28" s="18"/>
      <c r="J28" s="18"/>
    </row>
    <row r="29" spans="1:10" x14ac:dyDescent="0.25">
      <c r="A29" s="18"/>
      <c r="B29" s="18"/>
      <c r="C29" s="28" t="s">
        <v>22</v>
      </c>
      <c r="D29" s="18"/>
      <c r="E29" s="99" t="s">
        <v>23</v>
      </c>
      <c r="F29" s="99"/>
      <c r="G29" s="18"/>
      <c r="H29" s="18"/>
      <c r="I29" s="18"/>
      <c r="J29" s="18"/>
    </row>
    <row r="30" spans="1:10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</sheetData>
  <mergeCells count="15"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B18:C18"/>
    <mergeCell ref="A20:J20"/>
    <mergeCell ref="B23:G23"/>
    <mergeCell ref="E26:F26"/>
    <mergeCell ref="E29:F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H13" sqref="H13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44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19" t="s">
        <v>10</v>
      </c>
      <c r="G7" s="19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ht="30" x14ac:dyDescent="0.25">
      <c r="A9" s="20">
        <v>1</v>
      </c>
      <c r="B9" s="21" t="s">
        <v>45</v>
      </c>
      <c r="C9" s="22" t="s">
        <v>46</v>
      </c>
      <c r="D9" s="21">
        <f>F9/12</f>
        <v>113814.76083333332</v>
      </c>
      <c r="E9" s="21">
        <f>F9+G9</f>
        <v>1689877.13</v>
      </c>
      <c r="F9" s="21">
        <v>1365777.13</v>
      </c>
      <c r="G9" s="21">
        <v>324100</v>
      </c>
      <c r="H9" s="23">
        <f>D9/D13</f>
        <v>3.2589712087206819</v>
      </c>
      <c r="I9" s="18"/>
      <c r="J9" s="18"/>
    </row>
    <row r="10" spans="1:10" ht="30" x14ac:dyDescent="0.25">
      <c r="A10" s="20">
        <v>2</v>
      </c>
      <c r="B10" s="21" t="s">
        <v>47</v>
      </c>
      <c r="C10" s="22" t="s">
        <v>48</v>
      </c>
      <c r="D10" s="21">
        <f t="shared" ref="D10:D12" si="0">F10/12</f>
        <v>107099.10166666667</v>
      </c>
      <c r="E10" s="21">
        <f t="shared" ref="E10:E13" si="1">F10+G10</f>
        <v>1285189.22</v>
      </c>
      <c r="F10" s="21">
        <v>1285189.22</v>
      </c>
      <c r="G10" s="21"/>
      <c r="H10" s="23">
        <f>D10/D13</f>
        <v>3.0666750626716022</v>
      </c>
      <c r="I10" s="18"/>
      <c r="J10" s="18"/>
    </row>
    <row r="11" spans="1:10" ht="45" x14ac:dyDescent="0.25">
      <c r="A11" s="20">
        <v>3</v>
      </c>
      <c r="B11" s="21" t="s">
        <v>49</v>
      </c>
      <c r="C11" s="22" t="s">
        <v>50</v>
      </c>
      <c r="D11" s="21">
        <f t="shared" si="0"/>
        <v>90503.297500000001</v>
      </c>
      <c r="E11" s="21">
        <f t="shared" si="1"/>
        <v>1178531.6700000002</v>
      </c>
      <c r="F11" s="21">
        <v>1086039.57</v>
      </c>
      <c r="G11" s="21">
        <v>92492.1</v>
      </c>
      <c r="H11" s="23">
        <f>D11/D13</f>
        <v>2.5914709013771446</v>
      </c>
      <c r="I11" s="18"/>
      <c r="J11" s="18"/>
    </row>
    <row r="12" spans="1:10" x14ac:dyDescent="0.25">
      <c r="A12" s="20">
        <v>6</v>
      </c>
      <c r="B12" s="21" t="s">
        <v>51</v>
      </c>
      <c r="C12" s="22" t="s">
        <v>17</v>
      </c>
      <c r="D12" s="21">
        <f t="shared" si="0"/>
        <v>86049.846666666665</v>
      </c>
      <c r="E12" s="21">
        <f t="shared" si="1"/>
        <v>1032598.16</v>
      </c>
      <c r="F12" s="21">
        <v>1032598.16</v>
      </c>
      <c r="G12" s="21"/>
      <c r="H12" s="23">
        <f>D12/D13</f>
        <v>2.4639508157659313</v>
      </c>
      <c r="I12" s="18"/>
      <c r="J12" s="18"/>
    </row>
    <row r="13" spans="1:10" x14ac:dyDescent="0.25">
      <c r="A13" s="22"/>
      <c r="B13" s="106" t="s">
        <v>18</v>
      </c>
      <c r="C13" s="107"/>
      <c r="D13" s="21">
        <f>F13/12/268.5</f>
        <v>34923.52449410304</v>
      </c>
      <c r="E13" s="21">
        <f t="shared" si="1"/>
        <v>122396903.82000001</v>
      </c>
      <c r="F13" s="21">
        <v>112523595.92</v>
      </c>
      <c r="G13" s="21">
        <v>9873307.9000000004</v>
      </c>
      <c r="H13" s="23"/>
      <c r="I13" s="18"/>
      <c r="J13" s="18"/>
    </row>
    <row r="14" spans="1:10" x14ac:dyDescent="0.25">
      <c r="A14" s="18"/>
      <c r="B14" s="18"/>
      <c r="C14" s="18"/>
      <c r="D14" s="18"/>
      <c r="E14" s="24"/>
      <c r="F14" s="24"/>
      <c r="G14" s="24"/>
      <c r="H14" s="18"/>
      <c r="I14" s="18"/>
      <c r="J14" s="18"/>
    </row>
    <row r="15" spans="1:10" x14ac:dyDescent="0.25">
      <c r="A15" s="108" t="s">
        <v>19</v>
      </c>
      <c r="B15" s="108"/>
      <c r="C15" s="108"/>
      <c r="D15" s="108"/>
      <c r="E15" s="108"/>
      <c r="F15" s="108"/>
      <c r="G15" s="108"/>
      <c r="H15" s="108"/>
      <c r="I15" s="108"/>
      <c r="J15" s="108"/>
    </row>
    <row r="16" spans="1:10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 t="s">
        <v>20</v>
      </c>
      <c r="C19" s="25"/>
      <c r="D19" s="26"/>
      <c r="E19" s="27"/>
      <c r="F19" s="25"/>
      <c r="G19" s="18"/>
      <c r="H19" s="18"/>
      <c r="I19" s="18"/>
      <c r="J19" s="18"/>
    </row>
    <row r="20" spans="1:10" x14ac:dyDescent="0.25">
      <c r="A20" s="18"/>
      <c r="B20" s="18"/>
      <c r="C20" s="28" t="s">
        <v>22</v>
      </c>
      <c r="D20" s="18"/>
      <c r="E20" s="99" t="s">
        <v>23</v>
      </c>
      <c r="F20" s="99"/>
      <c r="G20" s="18"/>
      <c r="H20" s="18"/>
      <c r="I20" s="18"/>
      <c r="J20" s="1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18"/>
      <c r="B22" s="18" t="s">
        <v>17</v>
      </c>
      <c r="C22" s="25"/>
      <c r="D22" s="26"/>
      <c r="E22" s="27"/>
      <c r="F22" s="25"/>
      <c r="G22" s="18"/>
      <c r="H22" s="18"/>
      <c r="I22" s="18"/>
      <c r="J22" s="18"/>
    </row>
    <row r="23" spans="1:10" x14ac:dyDescent="0.25">
      <c r="A23" s="18"/>
      <c r="B23" s="18"/>
      <c r="C23" s="28" t="s">
        <v>22</v>
      </c>
      <c r="D23" s="18"/>
      <c r="E23" s="99" t="s">
        <v>23</v>
      </c>
      <c r="F23" s="99"/>
      <c r="G23" s="18"/>
      <c r="H23" s="18"/>
      <c r="I23" s="18"/>
      <c r="J23" s="18"/>
    </row>
    <row r="24" spans="1:10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</row>
  </sheetData>
  <mergeCells count="14">
    <mergeCell ref="B13:C13"/>
    <mergeCell ref="A15:J15"/>
    <mergeCell ref="E20:F20"/>
    <mergeCell ref="E23:F23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E36" sqref="E36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52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19" t="s">
        <v>10</v>
      </c>
      <c r="G7" s="19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21" t="s">
        <v>53</v>
      </c>
      <c r="C9" s="22" t="s">
        <v>46</v>
      </c>
      <c r="D9" s="2">
        <f>F9/12</f>
        <v>136229.97</v>
      </c>
      <c r="E9" s="2">
        <f>F9+G9</f>
        <v>1634759.64</v>
      </c>
      <c r="F9" s="2">
        <v>1634759.64</v>
      </c>
      <c r="G9" s="2"/>
      <c r="H9" s="31">
        <f>D9/D17</f>
        <v>4.7409546237264335</v>
      </c>
      <c r="I9" s="18"/>
      <c r="J9" s="18"/>
    </row>
    <row r="10" spans="1:10" ht="30" x14ac:dyDescent="0.25">
      <c r="A10" s="20">
        <v>2</v>
      </c>
      <c r="B10" s="21" t="s">
        <v>54</v>
      </c>
      <c r="C10" s="22" t="s">
        <v>55</v>
      </c>
      <c r="D10" s="2">
        <f t="shared" ref="D10:D16" si="0">F10/12</f>
        <v>118891.52416666667</v>
      </c>
      <c r="E10" s="2">
        <f t="shared" ref="E10:E17" si="1">F10+G10</f>
        <v>2299745.12</v>
      </c>
      <c r="F10" s="2">
        <v>1426698.29</v>
      </c>
      <c r="G10" s="2">
        <v>873046.83</v>
      </c>
      <c r="H10" s="31">
        <f>D10/D17</f>
        <v>4.1375574054654889</v>
      </c>
      <c r="I10" s="18"/>
      <c r="J10" s="18"/>
    </row>
    <row r="11" spans="1:10" ht="30" x14ac:dyDescent="0.25">
      <c r="A11" s="20">
        <v>3</v>
      </c>
      <c r="B11" s="21" t="s">
        <v>56</v>
      </c>
      <c r="C11" s="22" t="s">
        <v>57</v>
      </c>
      <c r="D11" s="2">
        <f t="shared" si="0"/>
        <v>112427.3</v>
      </c>
      <c r="E11" s="2">
        <f t="shared" si="1"/>
        <v>2651209.81</v>
      </c>
      <c r="F11" s="2">
        <v>1349127.6</v>
      </c>
      <c r="G11" s="2">
        <f>1032063.53+270018.68</f>
        <v>1302082.21</v>
      </c>
      <c r="H11" s="31">
        <f>D11/D17</f>
        <v>3.9125952077070774</v>
      </c>
      <c r="I11" s="18"/>
      <c r="J11" s="18"/>
    </row>
    <row r="12" spans="1:10" ht="30" x14ac:dyDescent="0.25">
      <c r="A12" s="20">
        <v>4</v>
      </c>
      <c r="B12" s="21" t="s">
        <v>58</v>
      </c>
      <c r="C12" s="22" t="s">
        <v>59</v>
      </c>
      <c r="D12" s="2">
        <f t="shared" si="0"/>
        <v>121034.8658333333</v>
      </c>
      <c r="E12" s="2">
        <f t="shared" si="1"/>
        <v>2286744.3899999997</v>
      </c>
      <c r="F12" s="2">
        <f>2198802.05-746383.66</f>
        <v>1452418.3899999997</v>
      </c>
      <c r="G12" s="32">
        <f>87942.34+746383.66</f>
        <v>834326</v>
      </c>
      <c r="H12" s="31">
        <f>D12/D17</f>
        <v>4.2121480816934049</v>
      </c>
      <c r="I12" s="18"/>
      <c r="J12" s="18"/>
    </row>
    <row r="13" spans="1:10" ht="30" x14ac:dyDescent="0.25">
      <c r="A13" s="20">
        <v>5</v>
      </c>
      <c r="B13" s="21" t="s">
        <v>60</v>
      </c>
      <c r="C13" s="22" t="s">
        <v>61</v>
      </c>
      <c r="D13" s="2">
        <f t="shared" si="0"/>
        <v>96570.150000000009</v>
      </c>
      <c r="E13" s="2">
        <f t="shared" si="1"/>
        <v>1184623.1400000001</v>
      </c>
      <c r="F13" s="2">
        <v>1158841.8</v>
      </c>
      <c r="G13" s="2">
        <v>25781.34</v>
      </c>
      <c r="H13" s="31">
        <f>D13/D17</f>
        <v>3.3607487336043258</v>
      </c>
      <c r="I13" s="18"/>
      <c r="J13" s="18"/>
    </row>
    <row r="14" spans="1:10" ht="45" x14ac:dyDescent="0.25">
      <c r="A14" s="20">
        <v>6</v>
      </c>
      <c r="B14" s="21" t="s">
        <v>62</v>
      </c>
      <c r="C14" s="22" t="s">
        <v>63</v>
      </c>
      <c r="D14" s="2">
        <f t="shared" si="0"/>
        <v>129490.38250000001</v>
      </c>
      <c r="E14" s="2">
        <f t="shared" si="1"/>
        <v>2864390.58</v>
      </c>
      <c r="F14" s="2">
        <v>1553884.59</v>
      </c>
      <c r="G14" s="2">
        <v>1310505.99</v>
      </c>
      <c r="H14" s="31">
        <f>D14/D17</f>
        <v>4.5064094754001598</v>
      </c>
      <c r="I14" s="18"/>
      <c r="J14" s="18"/>
    </row>
    <row r="15" spans="1:10" ht="30" x14ac:dyDescent="0.25">
      <c r="A15" s="20">
        <v>7</v>
      </c>
      <c r="B15" s="21" t="s">
        <v>64</v>
      </c>
      <c r="C15" s="22" t="s">
        <v>65</v>
      </c>
      <c r="D15" s="2">
        <f t="shared" si="0"/>
        <v>110418.515</v>
      </c>
      <c r="E15" s="2">
        <f t="shared" si="1"/>
        <v>1325513.8999999999</v>
      </c>
      <c r="F15" s="2">
        <v>1325022.18</v>
      </c>
      <c r="G15" s="2">
        <v>491.72</v>
      </c>
      <c r="H15" s="31">
        <f>D15/D17</f>
        <v>3.8426872532839624</v>
      </c>
      <c r="I15" s="18"/>
      <c r="J15" s="18"/>
    </row>
    <row r="16" spans="1:10" x14ac:dyDescent="0.25">
      <c r="A16" s="20">
        <v>8</v>
      </c>
      <c r="B16" s="21" t="s">
        <v>66</v>
      </c>
      <c r="C16" s="22" t="s">
        <v>17</v>
      </c>
      <c r="D16" s="2">
        <f t="shared" si="0"/>
        <v>118311.59000000001</v>
      </c>
      <c r="E16" s="2">
        <f t="shared" si="1"/>
        <v>2289841.4</v>
      </c>
      <c r="F16" s="2">
        <v>1419739.08</v>
      </c>
      <c r="G16" s="2">
        <v>870102.32</v>
      </c>
      <c r="H16" s="31">
        <f>D16/D17</f>
        <v>4.1173750508124325</v>
      </c>
      <c r="I16" s="18"/>
      <c r="J16" s="18"/>
    </row>
    <row r="17" spans="1:10" x14ac:dyDescent="0.25">
      <c r="A17" s="22"/>
      <c r="B17" s="106" t="s">
        <v>18</v>
      </c>
      <c r="C17" s="107"/>
      <c r="D17" s="2">
        <f>F17/12/874.2</f>
        <v>28734.712903225805</v>
      </c>
      <c r="E17" s="2">
        <f t="shared" si="1"/>
        <v>400760796.38</v>
      </c>
      <c r="F17" s="2">
        <f>306862932.24-5424300</f>
        <v>301438632.24000001</v>
      </c>
      <c r="G17" s="2">
        <v>99322164.140000001</v>
      </c>
      <c r="H17" s="31"/>
      <c r="I17" s="18"/>
      <c r="J17" s="18"/>
    </row>
    <row r="18" spans="1:10" x14ac:dyDescent="0.25">
      <c r="A18" s="18"/>
      <c r="B18" s="18"/>
      <c r="C18" s="18"/>
      <c r="D18" s="18"/>
      <c r="E18" s="24"/>
      <c r="F18" s="24"/>
      <c r="G18" s="24"/>
      <c r="H18" s="18"/>
      <c r="I18" s="18"/>
      <c r="J18" s="18"/>
    </row>
    <row r="19" spans="1:10" x14ac:dyDescent="0.25">
      <c r="A19" s="108" t="s">
        <v>19</v>
      </c>
      <c r="B19" s="108"/>
      <c r="C19" s="108"/>
      <c r="D19" s="108"/>
      <c r="E19" s="108"/>
      <c r="F19" s="108"/>
      <c r="G19" s="108"/>
      <c r="H19" s="108"/>
      <c r="I19" s="108"/>
      <c r="J19" s="10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 t="s">
        <v>20</v>
      </c>
      <c r="C23" s="25"/>
      <c r="D23" s="26"/>
      <c r="E23" s="27" t="s">
        <v>67</v>
      </c>
      <c r="F23" s="25"/>
      <c r="G23" s="18"/>
      <c r="H23" s="18"/>
      <c r="I23" s="18"/>
      <c r="J23" s="18"/>
    </row>
    <row r="24" spans="1:10" x14ac:dyDescent="0.25">
      <c r="A24" s="18"/>
      <c r="B24" s="18"/>
      <c r="C24" s="28" t="s">
        <v>22</v>
      </c>
      <c r="D24" s="18"/>
      <c r="E24" s="99" t="s">
        <v>23</v>
      </c>
      <c r="F24" s="99"/>
      <c r="G24" s="18"/>
      <c r="H24" s="18"/>
      <c r="I24" s="18"/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 x14ac:dyDescent="0.25">
      <c r="A26" s="18"/>
      <c r="B26" s="18" t="s">
        <v>17</v>
      </c>
      <c r="C26" s="25"/>
      <c r="D26" s="26"/>
      <c r="E26" s="27" t="s">
        <v>68</v>
      </c>
      <c r="F26" s="25"/>
      <c r="G26" s="18"/>
      <c r="H26" s="18"/>
      <c r="I26" s="18"/>
      <c r="J26" s="18"/>
    </row>
    <row r="27" spans="1:10" x14ac:dyDescent="0.25">
      <c r="A27" s="18"/>
      <c r="B27" s="18"/>
      <c r="C27" s="28" t="s">
        <v>22</v>
      </c>
      <c r="D27" s="18"/>
      <c r="E27" s="99" t="s">
        <v>23</v>
      </c>
      <c r="F27" s="99"/>
      <c r="G27" s="18"/>
      <c r="H27" s="18"/>
      <c r="I27" s="18"/>
      <c r="J27" s="18"/>
    </row>
    <row r="28" spans="1:10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</row>
  </sheetData>
  <mergeCells count="14">
    <mergeCell ref="B17:C17"/>
    <mergeCell ref="A19:J19"/>
    <mergeCell ref="E24:F24"/>
    <mergeCell ref="E27:F27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G25" sqref="G25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customHeight="1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9" t="s">
        <v>69</v>
      </c>
      <c r="B3" s="109"/>
      <c r="C3" s="109"/>
      <c r="D3" s="109"/>
      <c r="E3" s="109"/>
      <c r="F3" s="109"/>
      <c r="G3" s="109"/>
      <c r="H3" s="109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98" t="s">
        <v>10</v>
      </c>
      <c r="G7" s="98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21" t="s">
        <v>349</v>
      </c>
      <c r="C9" s="22" t="s">
        <v>46</v>
      </c>
      <c r="D9" s="21">
        <f>F9/12</f>
        <v>139094.41666666666</v>
      </c>
      <c r="E9" s="21">
        <f>F9+G9</f>
        <v>1922851</v>
      </c>
      <c r="F9" s="33">
        <v>1669133</v>
      </c>
      <c r="G9" s="33">
        <v>253718</v>
      </c>
      <c r="H9" s="23">
        <f>D9/D15</f>
        <v>4.0533951822835261</v>
      </c>
      <c r="I9" s="18"/>
      <c r="J9" s="18"/>
    </row>
    <row r="10" spans="1:10" ht="30" x14ac:dyDescent="0.25">
      <c r="A10" s="20">
        <v>2</v>
      </c>
      <c r="B10" s="21" t="s">
        <v>350</v>
      </c>
      <c r="C10" s="22" t="s">
        <v>71</v>
      </c>
      <c r="D10" s="21">
        <f t="shared" ref="D10:D14" si="0">F10/12</f>
        <v>93292.166666666672</v>
      </c>
      <c r="E10" s="21">
        <f t="shared" ref="E10:E15" si="1">F10+G10</f>
        <v>1127224</v>
      </c>
      <c r="F10" s="33">
        <v>1119506</v>
      </c>
      <c r="G10" s="33">
        <v>7718</v>
      </c>
      <c r="H10" s="23">
        <f>D10/D15</f>
        <v>2.718657067434112</v>
      </c>
      <c r="I10" s="18"/>
      <c r="J10" s="18"/>
    </row>
    <row r="11" spans="1:10" ht="45" x14ac:dyDescent="0.25">
      <c r="A11" s="20">
        <v>3</v>
      </c>
      <c r="B11" s="21" t="s">
        <v>351</v>
      </c>
      <c r="C11" s="22" t="s">
        <v>72</v>
      </c>
      <c r="D11" s="21">
        <f t="shared" si="0"/>
        <v>79679.916666666672</v>
      </c>
      <c r="E11" s="21">
        <f t="shared" si="1"/>
        <v>963877</v>
      </c>
      <c r="F11" s="33">
        <v>956159</v>
      </c>
      <c r="G11" s="33">
        <v>7718</v>
      </c>
      <c r="H11" s="23">
        <f>D11/D15</f>
        <v>2.3219781072551045</v>
      </c>
      <c r="I11" s="18"/>
      <c r="J11" s="18"/>
    </row>
    <row r="12" spans="1:10" ht="30" x14ac:dyDescent="0.25">
      <c r="A12" s="20">
        <v>4</v>
      </c>
      <c r="B12" s="21" t="s">
        <v>352</v>
      </c>
      <c r="C12" s="22" t="s">
        <v>73</v>
      </c>
      <c r="D12" s="21">
        <f t="shared" si="0"/>
        <v>70147.75</v>
      </c>
      <c r="E12" s="21">
        <f t="shared" si="1"/>
        <v>841773</v>
      </c>
      <c r="F12" s="33">
        <v>841773</v>
      </c>
      <c r="G12" s="33">
        <v>0</v>
      </c>
      <c r="H12" s="23">
        <f>D12/D15</f>
        <v>2.0441981692150062</v>
      </c>
      <c r="I12" s="18"/>
      <c r="J12" s="18"/>
    </row>
    <row r="13" spans="1:10" ht="30" x14ac:dyDescent="0.25">
      <c r="A13" s="20">
        <v>5</v>
      </c>
      <c r="B13" s="21" t="s">
        <v>353</v>
      </c>
      <c r="C13" s="22" t="s">
        <v>55</v>
      </c>
      <c r="D13" s="21">
        <f t="shared" si="0"/>
        <v>91798.666666666672</v>
      </c>
      <c r="E13" s="21">
        <f t="shared" si="1"/>
        <v>1101584</v>
      </c>
      <c r="F13" s="33">
        <v>1101584</v>
      </c>
      <c r="G13" s="33">
        <v>0</v>
      </c>
      <c r="H13" s="23">
        <f>D13/D15</f>
        <v>2.6751345030507552</v>
      </c>
      <c r="I13" s="18"/>
      <c r="J13" s="18"/>
    </row>
    <row r="14" spans="1:10" x14ac:dyDescent="0.25">
      <c r="A14" s="20">
        <v>6</v>
      </c>
      <c r="B14" s="21" t="s">
        <v>354</v>
      </c>
      <c r="C14" s="22" t="s">
        <v>17</v>
      </c>
      <c r="D14" s="21">
        <f t="shared" si="0"/>
        <v>91729.666666666672</v>
      </c>
      <c r="E14" s="21">
        <f t="shared" si="1"/>
        <v>1100756</v>
      </c>
      <c r="F14" s="33">
        <v>1100756</v>
      </c>
      <c r="G14" s="33">
        <v>0</v>
      </c>
      <c r="H14" s="23">
        <f>D14/D15</f>
        <v>2.6731237518338475</v>
      </c>
      <c r="I14" s="18"/>
      <c r="J14" s="18"/>
    </row>
    <row r="15" spans="1:10" x14ac:dyDescent="0.25">
      <c r="A15" s="22"/>
      <c r="B15" s="106" t="s">
        <v>18</v>
      </c>
      <c r="C15" s="107"/>
      <c r="D15" s="21">
        <f>F15/278.7/12</f>
        <v>34315.533130008371</v>
      </c>
      <c r="E15" s="21">
        <f t="shared" si="1"/>
        <v>117597733</v>
      </c>
      <c r="F15" s="21">
        <v>114764869</v>
      </c>
      <c r="G15" s="21">
        <v>2832864</v>
      </c>
      <c r="H15" s="20"/>
      <c r="I15" s="18"/>
      <c r="J15" s="18"/>
    </row>
    <row r="16" spans="1:10" x14ac:dyDescent="0.25">
      <c r="A16" s="18"/>
      <c r="B16" s="18"/>
      <c r="C16" s="18"/>
      <c r="D16" s="18"/>
      <c r="E16" s="24"/>
      <c r="F16" s="24"/>
      <c r="G16" s="24"/>
      <c r="H16" s="18"/>
      <c r="I16" s="18"/>
      <c r="J16" s="18"/>
    </row>
    <row r="17" spans="1:10" x14ac:dyDescent="0.25">
      <c r="A17" s="108" t="s">
        <v>19</v>
      </c>
      <c r="B17" s="108"/>
      <c r="C17" s="108"/>
      <c r="D17" s="108"/>
      <c r="E17" s="108"/>
      <c r="F17" s="108"/>
      <c r="G17" s="108"/>
      <c r="H17" s="108"/>
      <c r="I17" s="108"/>
      <c r="J17" s="108"/>
    </row>
    <row r="18" spans="1:10" x14ac:dyDescent="0.25">
      <c r="A18" s="18"/>
      <c r="B18" s="18"/>
      <c r="C18" s="18"/>
      <c r="D18" s="18"/>
      <c r="E18" s="24"/>
      <c r="F18" s="24"/>
      <c r="G18" s="24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 t="s">
        <v>27</v>
      </c>
      <c r="C21" s="25"/>
      <c r="D21" s="18"/>
      <c r="E21" s="97" t="s">
        <v>70</v>
      </c>
      <c r="F21" s="25"/>
      <c r="G21" s="18"/>
      <c r="H21" s="18"/>
      <c r="I21" s="18"/>
      <c r="J21" s="18"/>
    </row>
    <row r="22" spans="1:10" x14ac:dyDescent="0.25">
      <c r="A22" s="18"/>
      <c r="B22" s="18"/>
      <c r="C22" s="28" t="s">
        <v>22</v>
      </c>
      <c r="D22" s="18"/>
      <c r="E22" s="99" t="s">
        <v>23</v>
      </c>
      <c r="F22" s="99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8"/>
      <c r="B24" s="18" t="s">
        <v>17</v>
      </c>
      <c r="C24" s="25"/>
      <c r="D24" s="18"/>
      <c r="E24" s="97" t="s">
        <v>74</v>
      </c>
      <c r="F24" s="25"/>
      <c r="G24" s="18"/>
      <c r="H24" s="18"/>
      <c r="I24" s="18"/>
      <c r="J24" s="18"/>
    </row>
    <row r="25" spans="1:10" x14ac:dyDescent="0.25">
      <c r="A25" s="18"/>
      <c r="B25" s="18"/>
      <c r="C25" s="28" t="s">
        <v>22</v>
      </c>
      <c r="D25" s="18"/>
      <c r="E25" s="99" t="s">
        <v>23</v>
      </c>
      <c r="F25" s="99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</sheetData>
  <mergeCells count="14">
    <mergeCell ref="B15:C15"/>
    <mergeCell ref="A17:J17"/>
    <mergeCell ref="E22:F22"/>
    <mergeCell ref="E25:F25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C10" sqref="C10"/>
    </sheetView>
  </sheetViews>
  <sheetFormatPr defaultRowHeight="15" x14ac:dyDescent="0.25"/>
  <cols>
    <col min="1" max="1" width="5.42578125" style="17" customWidth="1"/>
    <col min="2" max="2" width="36" style="17" customWidth="1"/>
    <col min="3" max="3" width="30.28515625" style="17" customWidth="1"/>
    <col min="4" max="4" width="13.7109375" style="17" customWidth="1"/>
    <col min="5" max="5" width="14.5703125" style="17" customWidth="1"/>
    <col min="6" max="6" width="17.7109375" style="17" customWidth="1"/>
    <col min="7" max="7" width="17.42578125" style="17" customWidth="1"/>
    <col min="8" max="8" width="20.28515625" style="17" customWidth="1"/>
    <col min="9" max="9" width="9.140625" style="17"/>
    <col min="10" max="10" width="11.42578125" style="17" bestFit="1" customWidth="1"/>
    <col min="11" max="16384" width="9.140625" style="17"/>
  </cols>
  <sheetData>
    <row r="1" spans="1:10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ht="18.75" x14ac:dyDescent="0.3">
      <c r="A2" s="100" t="s">
        <v>1</v>
      </c>
      <c r="B2" s="100"/>
      <c r="C2" s="100"/>
      <c r="D2" s="100"/>
      <c r="E2" s="100"/>
      <c r="F2" s="100"/>
      <c r="G2" s="100"/>
      <c r="H2" s="100"/>
      <c r="I2" s="18"/>
      <c r="J2" s="18"/>
    </row>
    <row r="3" spans="1:10" ht="18.75" x14ac:dyDescent="0.3">
      <c r="A3" s="110" t="s">
        <v>75</v>
      </c>
      <c r="B3" s="110"/>
      <c r="C3" s="110"/>
      <c r="D3" s="110"/>
      <c r="E3" s="110"/>
      <c r="F3" s="110"/>
      <c r="G3" s="110"/>
      <c r="H3" s="110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76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85.5" x14ac:dyDescent="0.25">
      <c r="A7" s="103"/>
      <c r="B7" s="104"/>
      <c r="C7" s="104"/>
      <c r="D7" s="104"/>
      <c r="E7" s="104"/>
      <c r="F7" s="19" t="s">
        <v>10</v>
      </c>
      <c r="G7" s="19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ht="45" x14ac:dyDescent="0.25">
      <c r="A9" s="20">
        <v>1</v>
      </c>
      <c r="B9" s="21" t="s">
        <v>77</v>
      </c>
      <c r="C9" s="22" t="s">
        <v>46</v>
      </c>
      <c r="D9" s="21">
        <v>118241.26</v>
      </c>
      <c r="E9" s="21">
        <v>1754009.4</v>
      </c>
      <c r="F9" s="21">
        <v>1418895.16</v>
      </c>
      <c r="G9" s="21">
        <v>335114.23999999999</v>
      </c>
      <c r="H9" s="23">
        <f>D9/D16</f>
        <v>3.9862418136937272</v>
      </c>
      <c r="I9" s="18"/>
      <c r="J9" s="24"/>
    </row>
    <row r="10" spans="1:10" ht="30" x14ac:dyDescent="0.25">
      <c r="A10" s="20">
        <v>2</v>
      </c>
      <c r="B10" s="21" t="s">
        <v>78</v>
      </c>
      <c r="C10" s="22" t="s">
        <v>71</v>
      </c>
      <c r="D10" s="21">
        <v>116458.99</v>
      </c>
      <c r="E10" s="21">
        <v>1543211.5</v>
      </c>
      <c r="F10" s="21">
        <v>1397507.85</v>
      </c>
      <c r="G10" s="21">
        <v>145703.65</v>
      </c>
      <c r="H10" s="23">
        <f>D10/D16</f>
        <v>3.9261565338405537</v>
      </c>
      <c r="I10" s="18"/>
      <c r="J10" s="24"/>
    </row>
    <row r="11" spans="1:10" ht="45" x14ac:dyDescent="0.25">
      <c r="A11" s="20">
        <v>3</v>
      </c>
      <c r="B11" s="21" t="s">
        <v>79</v>
      </c>
      <c r="C11" s="22" t="s">
        <v>80</v>
      </c>
      <c r="D11" s="33">
        <v>94290.97</v>
      </c>
      <c r="E11" s="21">
        <v>1283064.6599999999</v>
      </c>
      <c r="F11" s="21">
        <v>1037200.67</v>
      </c>
      <c r="G11" s="21">
        <v>245863.99</v>
      </c>
      <c r="H11" s="23">
        <f>D11/D16</f>
        <v>3.1788109097259354</v>
      </c>
      <c r="I11" s="18"/>
      <c r="J11" s="24"/>
    </row>
    <row r="12" spans="1:10" ht="30" x14ac:dyDescent="0.25">
      <c r="A12" s="20">
        <v>4</v>
      </c>
      <c r="B12" s="21" t="s">
        <v>81</v>
      </c>
      <c r="C12" s="22" t="s">
        <v>82</v>
      </c>
      <c r="D12" s="21">
        <v>105139.28</v>
      </c>
      <c r="E12" s="21">
        <v>1353586.53</v>
      </c>
      <c r="F12" s="21">
        <v>1156532.03</v>
      </c>
      <c r="G12" s="21">
        <v>197054.63</v>
      </c>
      <c r="H12" s="23">
        <f>D12/D16</f>
        <v>3.5445376190819737</v>
      </c>
      <c r="I12" s="18"/>
      <c r="J12" s="24"/>
    </row>
    <row r="13" spans="1:10" ht="30" x14ac:dyDescent="0.25">
      <c r="A13" s="20">
        <v>5</v>
      </c>
      <c r="B13" s="21" t="s">
        <v>83</v>
      </c>
      <c r="C13" s="22" t="s">
        <v>84</v>
      </c>
      <c r="D13" s="21">
        <v>96776.19</v>
      </c>
      <c r="E13" s="21">
        <v>1394667.1</v>
      </c>
      <c r="F13" s="21">
        <v>1161314.29</v>
      </c>
      <c r="G13" s="21">
        <v>233352.81</v>
      </c>
      <c r="H13" s="23">
        <f>D13/D16</f>
        <v>3.2625945896379047</v>
      </c>
      <c r="I13" s="18"/>
      <c r="J13" s="24"/>
    </row>
    <row r="14" spans="1:10" ht="30" x14ac:dyDescent="0.25">
      <c r="A14" s="20"/>
      <c r="B14" s="21" t="s">
        <v>85</v>
      </c>
      <c r="C14" s="22" t="s">
        <v>55</v>
      </c>
      <c r="D14" s="21">
        <v>98144.07</v>
      </c>
      <c r="E14" s="21">
        <f>SUM(F14:G14)</f>
        <v>1244509.56</v>
      </c>
      <c r="F14" s="21">
        <v>1079584.82</v>
      </c>
      <c r="G14" s="21">
        <v>164924.74</v>
      </c>
      <c r="H14" s="23">
        <f>D14/D16</f>
        <v>3.3087096297864567</v>
      </c>
      <c r="I14" s="18"/>
      <c r="J14" s="24"/>
    </row>
    <row r="15" spans="1:10" x14ac:dyDescent="0.25">
      <c r="A15" s="20">
        <v>6</v>
      </c>
      <c r="B15" s="21" t="s">
        <v>86</v>
      </c>
      <c r="C15" s="22" t="s">
        <v>17</v>
      </c>
      <c r="D15" s="21">
        <v>104042.98</v>
      </c>
      <c r="E15" s="21">
        <f>SUM(F15:G15)</f>
        <v>1314884.08</v>
      </c>
      <c r="F15" s="21">
        <v>1144472.76</v>
      </c>
      <c r="G15" s="21">
        <v>170411.32</v>
      </c>
      <c r="H15" s="23">
        <f>D15/D16</f>
        <v>3.5075782962503967</v>
      </c>
      <c r="I15" s="18"/>
      <c r="J15" s="24"/>
    </row>
    <row r="16" spans="1:10" x14ac:dyDescent="0.25">
      <c r="A16" s="22"/>
      <c r="B16" s="22" t="s">
        <v>18</v>
      </c>
      <c r="C16" s="34"/>
      <c r="D16" s="21">
        <v>29662.34</v>
      </c>
      <c r="E16" s="21">
        <v>236456388.16999999</v>
      </c>
      <c r="F16" s="21">
        <v>205955134.41</v>
      </c>
      <c r="G16" s="21">
        <v>30501253.760000002</v>
      </c>
      <c r="H16" s="20"/>
      <c r="I16" s="18"/>
      <c r="J16" s="24"/>
    </row>
    <row r="17" spans="1:10" x14ac:dyDescent="0.25">
      <c r="A17" s="26"/>
      <c r="B17" s="35"/>
      <c r="C17" s="35"/>
      <c r="D17" s="36"/>
      <c r="E17" s="36"/>
      <c r="F17" s="36"/>
      <c r="G17" s="36"/>
      <c r="H17" s="35"/>
      <c r="I17" s="18"/>
      <c r="J17" s="18"/>
    </row>
    <row r="18" spans="1:10" x14ac:dyDescent="0.25">
      <c r="A18" s="18"/>
      <c r="B18" s="18"/>
      <c r="C18" s="18"/>
      <c r="D18" s="18"/>
      <c r="E18" s="24"/>
      <c r="F18" s="24"/>
      <c r="G18" s="24"/>
      <c r="H18" s="18"/>
      <c r="I18" s="18"/>
      <c r="J18" s="18"/>
    </row>
    <row r="19" spans="1:10" x14ac:dyDescent="0.25">
      <c r="A19" s="108" t="s">
        <v>87</v>
      </c>
      <c r="B19" s="108"/>
      <c r="C19" s="108"/>
      <c r="D19" s="108"/>
      <c r="E19" s="108"/>
      <c r="F19" s="108"/>
      <c r="G19" s="108"/>
      <c r="H19" s="108"/>
      <c r="I19" s="108"/>
      <c r="J19" s="10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ht="37.5" x14ac:dyDescent="0.3">
      <c r="A23" s="18"/>
      <c r="B23" s="37" t="s">
        <v>20</v>
      </c>
      <c r="C23" s="25"/>
      <c r="D23" s="26"/>
      <c r="E23" s="110" t="s">
        <v>88</v>
      </c>
      <c r="F23" s="110"/>
      <c r="G23" s="18"/>
      <c r="H23" s="18"/>
      <c r="I23" s="18"/>
      <c r="J23" s="18"/>
    </row>
    <row r="24" spans="1:10" ht="18.75" x14ac:dyDescent="0.3">
      <c r="A24" s="18"/>
      <c r="B24" s="37"/>
      <c r="C24" s="28" t="s">
        <v>22</v>
      </c>
      <c r="D24" s="18"/>
      <c r="E24" s="99" t="s">
        <v>23</v>
      </c>
      <c r="F24" s="99"/>
      <c r="G24" s="18"/>
      <c r="H24" s="18"/>
      <c r="I24" s="18"/>
      <c r="J24" s="18"/>
    </row>
    <row r="25" spans="1:10" ht="18.75" x14ac:dyDescent="0.3">
      <c r="A25" s="18"/>
      <c r="B25" s="37"/>
      <c r="C25" s="18"/>
      <c r="D25" s="18"/>
      <c r="E25" s="18"/>
      <c r="F25" s="18"/>
      <c r="G25" s="18"/>
      <c r="H25" s="18"/>
      <c r="I25" s="18"/>
      <c r="J25" s="18"/>
    </row>
    <row r="26" spans="1:10" ht="18.75" x14ac:dyDescent="0.3">
      <c r="A26" s="18"/>
      <c r="B26" s="37" t="s">
        <v>17</v>
      </c>
      <c r="C26" s="25"/>
      <c r="D26" s="26"/>
      <c r="E26" s="110" t="s">
        <v>89</v>
      </c>
      <c r="F26" s="110"/>
      <c r="G26" s="18"/>
      <c r="H26" s="18"/>
      <c r="I26" s="18"/>
      <c r="J26" s="18"/>
    </row>
    <row r="27" spans="1:10" x14ac:dyDescent="0.25">
      <c r="A27" s="18"/>
      <c r="B27" s="18"/>
      <c r="C27" s="28" t="s">
        <v>22</v>
      </c>
      <c r="D27" s="18"/>
      <c r="E27" s="99" t="s">
        <v>23</v>
      </c>
      <c r="F27" s="99"/>
      <c r="G27" s="18"/>
      <c r="H27" s="18"/>
      <c r="I27" s="18"/>
      <c r="J27" s="18"/>
    </row>
    <row r="28" spans="1:10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</row>
  </sheetData>
  <mergeCells count="16">
    <mergeCell ref="E27:F27"/>
    <mergeCell ref="A1:H1"/>
    <mergeCell ref="A2:H2"/>
    <mergeCell ref="A3:H3"/>
    <mergeCell ref="A4:H4"/>
    <mergeCell ref="A6:A7"/>
    <mergeCell ref="B6:B7"/>
    <mergeCell ref="C6:C7"/>
    <mergeCell ref="D6:D7"/>
    <mergeCell ref="E6:E7"/>
    <mergeCell ref="F6:G6"/>
    <mergeCell ref="H6:H7"/>
    <mergeCell ref="A19:J19"/>
    <mergeCell ref="E23:F23"/>
    <mergeCell ref="E24:F24"/>
    <mergeCell ref="E26:F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C39" sqref="C39"/>
    </sheetView>
  </sheetViews>
  <sheetFormatPr defaultRowHeight="15" x14ac:dyDescent="0.25"/>
  <cols>
    <col min="1" max="1" width="7.140625" style="17" customWidth="1"/>
    <col min="2" max="2" width="42.7109375" style="17" customWidth="1"/>
    <col min="3" max="3" width="62.7109375" style="17" customWidth="1"/>
    <col min="4" max="4" width="23.42578125" style="17" customWidth="1"/>
    <col min="5" max="5" width="31.28515625" style="17" customWidth="1"/>
    <col min="6" max="6" width="32.7109375" style="17" customWidth="1"/>
    <col min="7" max="7" width="27.140625" style="17" customWidth="1"/>
    <col min="8" max="8" width="23.28515625" style="17" customWidth="1"/>
    <col min="9" max="16384" width="9.140625" style="17"/>
  </cols>
  <sheetData>
    <row r="1" spans="1:14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4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4" ht="16.5" x14ac:dyDescent="0.25">
      <c r="A3" s="115" t="s">
        <v>90</v>
      </c>
      <c r="B3" s="115"/>
      <c r="C3" s="115"/>
      <c r="D3" s="115"/>
      <c r="E3" s="115"/>
      <c r="F3" s="115"/>
      <c r="G3" s="115"/>
      <c r="H3" s="115"/>
      <c r="I3" s="18"/>
      <c r="J3" s="18"/>
    </row>
    <row r="4" spans="1:14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4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4" ht="17.25" x14ac:dyDescent="0.3">
      <c r="A6" s="116" t="s">
        <v>3</v>
      </c>
      <c r="B6" s="117" t="s">
        <v>4</v>
      </c>
      <c r="C6" s="117" t="s">
        <v>5</v>
      </c>
      <c r="D6" s="117" t="s">
        <v>6</v>
      </c>
      <c r="E6" s="117" t="s">
        <v>7</v>
      </c>
      <c r="F6" s="118" t="s">
        <v>8</v>
      </c>
      <c r="G6" s="118"/>
      <c r="H6" s="117" t="s">
        <v>9</v>
      </c>
      <c r="I6" s="38"/>
      <c r="J6" s="38"/>
      <c r="K6" s="39"/>
      <c r="L6" s="39"/>
      <c r="M6" s="39"/>
      <c r="N6" s="39"/>
    </row>
    <row r="7" spans="1:14" ht="66" x14ac:dyDescent="0.3">
      <c r="A7" s="116"/>
      <c r="B7" s="117"/>
      <c r="C7" s="117"/>
      <c r="D7" s="117"/>
      <c r="E7" s="117"/>
      <c r="F7" s="40" t="s">
        <v>10</v>
      </c>
      <c r="G7" s="40" t="s">
        <v>11</v>
      </c>
      <c r="H7" s="117"/>
      <c r="I7" s="38"/>
      <c r="J7" s="38"/>
      <c r="K7" s="39"/>
      <c r="L7" s="39"/>
      <c r="M7" s="39"/>
      <c r="N7" s="39"/>
    </row>
    <row r="8" spans="1:14" ht="17.25" x14ac:dyDescent="0.3">
      <c r="A8" s="41">
        <v>1</v>
      </c>
      <c r="B8" s="41">
        <v>2</v>
      </c>
      <c r="C8" s="41">
        <v>3</v>
      </c>
      <c r="D8" s="41">
        <v>4</v>
      </c>
      <c r="E8" s="41">
        <v>5</v>
      </c>
      <c r="F8" s="41">
        <v>6</v>
      </c>
      <c r="G8" s="41">
        <v>7</v>
      </c>
      <c r="H8" s="41">
        <v>8</v>
      </c>
      <c r="I8" s="38"/>
      <c r="J8" s="38"/>
      <c r="K8" s="39"/>
      <c r="L8" s="39"/>
      <c r="M8" s="39"/>
      <c r="N8" s="39"/>
    </row>
    <row r="9" spans="1:14" ht="17.25" x14ac:dyDescent="0.3">
      <c r="A9" s="41">
        <v>1</v>
      </c>
      <c r="B9" s="42" t="s">
        <v>91</v>
      </c>
      <c r="C9" s="43" t="s">
        <v>46</v>
      </c>
      <c r="D9" s="44">
        <f>F9/12</f>
        <v>171508.41500000001</v>
      </c>
      <c r="E9" s="45">
        <v>2155100.98</v>
      </c>
      <c r="F9" s="44">
        <v>2058100.98</v>
      </c>
      <c r="G9" s="44">
        <v>97000</v>
      </c>
      <c r="H9" s="46">
        <f>D9/D15</f>
        <v>4.7120617812933059</v>
      </c>
      <c r="I9" s="38"/>
      <c r="J9" s="38"/>
      <c r="K9" s="39"/>
      <c r="L9" s="39"/>
      <c r="M9" s="39"/>
      <c r="N9" s="39"/>
    </row>
    <row r="10" spans="1:14" ht="17.25" x14ac:dyDescent="0.3">
      <c r="A10" s="41">
        <v>2</v>
      </c>
      <c r="B10" s="42" t="s">
        <v>92</v>
      </c>
      <c r="C10" s="43" t="s">
        <v>93</v>
      </c>
      <c r="D10" s="44">
        <f t="shared" ref="D10:D14" si="0">F10/12</f>
        <v>102969.59749999999</v>
      </c>
      <c r="E10" s="44">
        <v>1376260.17</v>
      </c>
      <c r="F10" s="44">
        <v>1235635.17</v>
      </c>
      <c r="G10" s="44">
        <v>140625</v>
      </c>
      <c r="H10" s="46">
        <f>D10/D15</f>
        <v>2.8290104891640717</v>
      </c>
      <c r="I10" s="38"/>
      <c r="J10" s="38"/>
      <c r="K10" s="39"/>
      <c r="L10" s="39"/>
      <c r="M10" s="39"/>
      <c r="N10" s="39"/>
    </row>
    <row r="11" spans="1:14" ht="17.25" x14ac:dyDescent="0.3">
      <c r="A11" s="41">
        <v>3</v>
      </c>
      <c r="B11" s="42" t="s">
        <v>94</v>
      </c>
      <c r="C11" s="43" t="s">
        <v>95</v>
      </c>
      <c r="D11" s="44">
        <f t="shared" si="0"/>
        <v>106722.75666666667</v>
      </c>
      <c r="E11" s="44">
        <v>1369095.08</v>
      </c>
      <c r="F11" s="44">
        <v>1280673.08</v>
      </c>
      <c r="G11" s="44">
        <v>108422</v>
      </c>
      <c r="H11" s="46">
        <f>D11/D15</f>
        <v>2.9321256504135107</v>
      </c>
      <c r="I11" s="38"/>
      <c r="J11" s="38"/>
      <c r="K11" s="39"/>
      <c r="L11" s="39"/>
      <c r="M11" s="39"/>
      <c r="N11" s="39"/>
    </row>
    <row r="12" spans="1:14" ht="17.25" x14ac:dyDescent="0.3">
      <c r="A12" s="41">
        <v>4</v>
      </c>
      <c r="B12" s="42" t="s">
        <v>96</v>
      </c>
      <c r="C12" s="43" t="s">
        <v>97</v>
      </c>
      <c r="D12" s="44">
        <f t="shared" si="0"/>
        <v>94744.778333333335</v>
      </c>
      <c r="E12" s="44">
        <v>1337217.3400000001</v>
      </c>
      <c r="F12" s="44">
        <v>1136937.3400000001</v>
      </c>
      <c r="G12" s="44">
        <v>200280</v>
      </c>
      <c r="H12" s="46">
        <f>D12/D15</f>
        <v>2.6030399089257865</v>
      </c>
      <c r="I12" s="38"/>
      <c r="J12" s="38"/>
      <c r="K12" s="39"/>
      <c r="L12" s="39"/>
      <c r="M12" s="39"/>
      <c r="N12" s="39"/>
    </row>
    <row r="13" spans="1:14" ht="17.25" x14ac:dyDescent="0.3">
      <c r="A13" s="41">
        <v>5</v>
      </c>
      <c r="B13" s="42" t="s">
        <v>98</v>
      </c>
      <c r="C13" s="43" t="s">
        <v>99</v>
      </c>
      <c r="D13" s="44">
        <f t="shared" si="0"/>
        <v>109009.97916666667</v>
      </c>
      <c r="E13" s="44">
        <v>1308119.75</v>
      </c>
      <c r="F13" s="44">
        <v>1308119.75</v>
      </c>
      <c r="G13" s="44"/>
      <c r="H13" s="46">
        <f>D13/D15</f>
        <v>2.9949653293153542</v>
      </c>
      <c r="I13" s="38"/>
      <c r="J13" s="38"/>
      <c r="K13" s="39"/>
      <c r="L13" s="39"/>
      <c r="M13" s="39"/>
      <c r="N13" s="39"/>
    </row>
    <row r="14" spans="1:14" ht="17.25" x14ac:dyDescent="0.3">
      <c r="A14" s="41">
        <v>6</v>
      </c>
      <c r="B14" s="42" t="s">
        <v>100</v>
      </c>
      <c r="C14" s="43" t="s">
        <v>17</v>
      </c>
      <c r="D14" s="44">
        <f t="shared" si="0"/>
        <v>108211.735</v>
      </c>
      <c r="E14" s="44">
        <v>1298540.82</v>
      </c>
      <c r="F14" s="44">
        <v>1298540.82</v>
      </c>
      <c r="G14" s="44"/>
      <c r="H14" s="46">
        <f>D14/D15</f>
        <v>2.9730341848295847</v>
      </c>
      <c r="I14" s="38"/>
      <c r="J14" s="38"/>
      <c r="K14" s="39"/>
      <c r="L14" s="39"/>
      <c r="M14" s="39"/>
      <c r="N14" s="39"/>
    </row>
    <row r="15" spans="1:14" ht="17.25" x14ac:dyDescent="0.3">
      <c r="A15" s="43"/>
      <c r="B15" s="111" t="s">
        <v>18</v>
      </c>
      <c r="C15" s="112"/>
      <c r="D15" s="44">
        <f>F15/12/768</f>
        <v>36397.743272569445</v>
      </c>
      <c r="E15" s="44">
        <v>335441602</v>
      </c>
      <c r="F15" s="44">
        <v>335441602</v>
      </c>
      <c r="G15" s="42"/>
      <c r="H15" s="41"/>
      <c r="I15" s="38"/>
      <c r="J15" s="38"/>
      <c r="K15" s="39"/>
      <c r="L15" s="39"/>
      <c r="M15" s="39"/>
      <c r="N15" s="39"/>
    </row>
    <row r="16" spans="1:14" ht="17.25" x14ac:dyDescent="0.3">
      <c r="A16" s="38"/>
      <c r="B16" s="38"/>
      <c r="C16" s="38"/>
      <c r="D16" s="38"/>
      <c r="E16" s="47"/>
      <c r="F16" s="47"/>
      <c r="G16" s="47"/>
      <c r="H16" s="38"/>
      <c r="I16" s="38"/>
      <c r="J16" s="38"/>
      <c r="K16" s="39"/>
      <c r="L16" s="39"/>
      <c r="M16" s="39"/>
      <c r="N16" s="39"/>
    </row>
    <row r="17" spans="1:14" ht="17.25" x14ac:dyDescent="0.3">
      <c r="A17" s="113" t="s">
        <v>19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39"/>
      <c r="L17" s="39"/>
      <c r="M17" s="39"/>
      <c r="N17" s="39"/>
    </row>
    <row r="18" spans="1:14" ht="17.25" x14ac:dyDescent="0.3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9"/>
      <c r="L18" s="39"/>
      <c r="M18" s="39"/>
      <c r="N18" s="39"/>
    </row>
    <row r="19" spans="1:14" ht="17.25" x14ac:dyDescent="0.3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9"/>
      <c r="L19" s="39"/>
      <c r="M19" s="39"/>
      <c r="N19" s="39"/>
    </row>
    <row r="20" spans="1:14" ht="17.25" x14ac:dyDescent="0.3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9"/>
      <c r="L20" s="39"/>
      <c r="M20" s="39"/>
      <c r="N20" s="39"/>
    </row>
    <row r="21" spans="1:14" ht="17.25" x14ac:dyDescent="0.3">
      <c r="A21" s="38"/>
      <c r="B21" s="38" t="s">
        <v>27</v>
      </c>
      <c r="C21" s="48"/>
      <c r="D21" s="49"/>
      <c r="E21" s="50" t="s">
        <v>101</v>
      </c>
      <c r="F21" s="48"/>
      <c r="G21" s="38"/>
      <c r="H21" s="38"/>
      <c r="I21" s="38"/>
      <c r="J21" s="38"/>
      <c r="K21" s="39"/>
      <c r="L21" s="39"/>
      <c r="M21" s="39"/>
      <c r="N21" s="39"/>
    </row>
    <row r="22" spans="1:14" ht="17.25" x14ac:dyDescent="0.3">
      <c r="A22" s="38"/>
      <c r="B22" s="38"/>
      <c r="C22" s="51" t="s">
        <v>22</v>
      </c>
      <c r="D22" s="38"/>
      <c r="E22" s="114" t="s">
        <v>23</v>
      </c>
      <c r="F22" s="114"/>
      <c r="G22" s="38"/>
      <c r="H22" s="38"/>
      <c r="I22" s="38"/>
      <c r="J22" s="38"/>
      <c r="K22" s="39"/>
      <c r="L22" s="39"/>
      <c r="M22" s="39"/>
      <c r="N22" s="39"/>
    </row>
    <row r="23" spans="1:14" ht="17.25" x14ac:dyDescent="0.3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9"/>
      <c r="L23" s="39"/>
      <c r="M23" s="39"/>
      <c r="N23" s="39"/>
    </row>
    <row r="24" spans="1:14" ht="17.25" x14ac:dyDescent="0.3">
      <c r="A24" s="38"/>
      <c r="B24" s="38" t="s">
        <v>17</v>
      </c>
      <c r="C24" s="48"/>
      <c r="D24" s="49"/>
      <c r="E24" s="50" t="s">
        <v>102</v>
      </c>
      <c r="F24" s="48"/>
      <c r="G24" s="38"/>
      <c r="H24" s="38"/>
      <c r="I24" s="38"/>
      <c r="J24" s="38"/>
      <c r="K24" s="39"/>
      <c r="L24" s="39"/>
      <c r="M24" s="39"/>
      <c r="N24" s="39"/>
    </row>
    <row r="25" spans="1:14" ht="17.25" x14ac:dyDescent="0.3">
      <c r="A25" s="38"/>
      <c r="B25" s="38"/>
      <c r="C25" s="51" t="s">
        <v>22</v>
      </c>
      <c r="D25" s="38"/>
      <c r="E25" s="114" t="s">
        <v>23</v>
      </c>
      <c r="F25" s="114"/>
      <c r="G25" s="38"/>
      <c r="H25" s="38"/>
      <c r="I25" s="38"/>
      <c r="J25" s="38"/>
      <c r="K25" s="39"/>
      <c r="L25" s="39"/>
      <c r="M25" s="39"/>
      <c r="N25" s="39"/>
    </row>
    <row r="26" spans="1:14" ht="17.25" x14ac:dyDescent="0.3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9"/>
      <c r="L26" s="39"/>
      <c r="M26" s="39"/>
      <c r="N26" s="39"/>
    </row>
    <row r="27" spans="1:14" ht="17.25" x14ac:dyDescent="0.3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1:14" ht="17.25" x14ac:dyDescent="0.3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4" ht="17.25" x14ac:dyDescent="0.3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4" ht="17.25" x14ac:dyDescent="0.3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1:14" ht="17.25" x14ac:dyDescent="0.3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1:14" ht="17.25" x14ac:dyDescent="0.3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1:14" ht="17.25" x14ac:dyDescent="0.3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</row>
    <row r="34" spans="1:14" ht="17.25" x14ac:dyDescent="0.3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1:14" ht="17.25" x14ac:dyDescent="0.3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1:14" ht="17.25" x14ac:dyDescent="0.3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1:14" ht="17.25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  <row r="38" spans="1:14" ht="17.25" x14ac:dyDescent="0.3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</row>
    <row r="39" spans="1:14" ht="17.25" x14ac:dyDescent="0.3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</row>
    <row r="40" spans="1:14" ht="17.25" x14ac:dyDescent="0.3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14" ht="17.25" x14ac:dyDescent="0.3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</row>
    <row r="42" spans="1:14" ht="17.25" x14ac:dyDescent="0.3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1:14" ht="17.25" x14ac:dyDescent="0.3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</row>
    <row r="44" spans="1:14" ht="17.25" x14ac:dyDescent="0.3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</row>
    <row r="45" spans="1:14" ht="17.25" x14ac:dyDescent="0.3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1:14" ht="17.25" x14ac:dyDescent="0.3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</sheetData>
  <mergeCells count="14">
    <mergeCell ref="B15:C15"/>
    <mergeCell ref="A17:J17"/>
    <mergeCell ref="E22:F22"/>
    <mergeCell ref="E25:F25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E22" sqref="E22:F22"/>
    </sheetView>
  </sheetViews>
  <sheetFormatPr defaultRowHeight="15" x14ac:dyDescent="0.25"/>
  <cols>
    <col min="1" max="1" width="9.140625" style="17"/>
    <col min="2" max="2" width="33.5703125" style="17" customWidth="1"/>
    <col min="3" max="3" width="30.28515625" style="17" customWidth="1"/>
    <col min="4" max="4" width="23.42578125" style="17" customWidth="1"/>
    <col min="5" max="5" width="31.28515625" style="17" customWidth="1"/>
    <col min="6" max="6" width="25.28515625" style="17" customWidth="1"/>
    <col min="7" max="7" width="22.5703125" style="17" customWidth="1"/>
    <col min="8" max="8" width="30.5703125" style="17" customWidth="1"/>
    <col min="9" max="16384" width="9.140625" style="17"/>
  </cols>
  <sheetData>
    <row r="1" spans="1:10" ht="18.75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8"/>
      <c r="J1" s="18"/>
    </row>
    <row r="2" spans="1:10" x14ac:dyDescent="0.25">
      <c r="A2" s="18"/>
      <c r="B2" s="18"/>
      <c r="C2" s="18"/>
      <c r="D2" s="18"/>
      <c r="E2" s="29" t="s">
        <v>1</v>
      </c>
      <c r="F2" s="18"/>
      <c r="G2" s="18"/>
      <c r="H2" s="18"/>
      <c r="I2" s="18"/>
      <c r="J2" s="18"/>
    </row>
    <row r="3" spans="1:10" x14ac:dyDescent="0.25">
      <c r="A3" s="101" t="s">
        <v>103</v>
      </c>
      <c r="B3" s="101"/>
      <c r="C3" s="101"/>
      <c r="D3" s="101"/>
      <c r="E3" s="101"/>
      <c r="F3" s="101"/>
      <c r="G3" s="101"/>
      <c r="H3" s="101"/>
      <c r="I3" s="18"/>
      <c r="J3" s="18"/>
    </row>
    <row r="4" spans="1:10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8"/>
      <c r="J4" s="18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03" t="s">
        <v>3</v>
      </c>
      <c r="B6" s="104" t="s">
        <v>4</v>
      </c>
      <c r="C6" s="104" t="s">
        <v>5</v>
      </c>
      <c r="D6" s="104" t="s">
        <v>6</v>
      </c>
      <c r="E6" s="104" t="s">
        <v>7</v>
      </c>
      <c r="F6" s="105" t="s">
        <v>8</v>
      </c>
      <c r="G6" s="105"/>
      <c r="H6" s="104" t="s">
        <v>9</v>
      </c>
      <c r="I6" s="18"/>
      <c r="J6" s="18"/>
    </row>
    <row r="7" spans="1:10" ht="57" x14ac:dyDescent="0.25">
      <c r="A7" s="103"/>
      <c r="B7" s="104"/>
      <c r="C7" s="104"/>
      <c r="D7" s="104"/>
      <c r="E7" s="104"/>
      <c r="F7" s="19" t="s">
        <v>10</v>
      </c>
      <c r="G7" s="19" t="s">
        <v>11</v>
      </c>
      <c r="H7" s="104"/>
      <c r="I7" s="18"/>
      <c r="J7" s="18"/>
    </row>
    <row r="8" spans="1:10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18"/>
      <c r="J8" s="18"/>
    </row>
    <row r="9" spans="1:10" x14ac:dyDescent="0.25">
      <c r="A9" s="20">
        <v>1</v>
      </c>
      <c r="B9" s="21" t="s">
        <v>104</v>
      </c>
      <c r="C9" s="22" t="s">
        <v>27</v>
      </c>
      <c r="D9" s="54">
        <f>F9/12</f>
        <v>111330.4575</v>
      </c>
      <c r="E9" s="54">
        <f>F9+G9</f>
        <v>1612190.7</v>
      </c>
      <c r="F9" s="54">
        <v>1335965.49</v>
      </c>
      <c r="G9" s="54">
        <v>276225.21000000002</v>
      </c>
      <c r="H9" s="30">
        <f>D9/D15</f>
        <v>3.5726870012088026</v>
      </c>
      <c r="I9" s="18"/>
      <c r="J9" s="18"/>
    </row>
    <row r="10" spans="1:10" ht="30" x14ac:dyDescent="0.25">
      <c r="A10" s="20">
        <v>2</v>
      </c>
      <c r="B10" s="21" t="s">
        <v>105</v>
      </c>
      <c r="C10" s="22" t="s">
        <v>71</v>
      </c>
      <c r="D10" s="54">
        <f t="shared" ref="D10:D14" si="0">F10/12</f>
        <v>89918.644166666665</v>
      </c>
      <c r="E10" s="54">
        <f t="shared" ref="E10:E15" si="1">F10+G10</f>
        <v>1164291.6399999999</v>
      </c>
      <c r="F10" s="54">
        <v>1079023.73</v>
      </c>
      <c r="G10" s="54">
        <v>85267.91</v>
      </c>
      <c r="H10" s="30">
        <f>D10/D15</f>
        <v>2.8855640980418116</v>
      </c>
      <c r="I10" s="18"/>
      <c r="J10" s="18"/>
    </row>
    <row r="11" spans="1:10" ht="45" x14ac:dyDescent="0.25">
      <c r="A11" s="20">
        <v>3</v>
      </c>
      <c r="B11" s="21" t="s">
        <v>106</v>
      </c>
      <c r="C11" s="22" t="s">
        <v>72</v>
      </c>
      <c r="D11" s="54">
        <f t="shared" si="0"/>
        <v>72661.394166666665</v>
      </c>
      <c r="E11" s="54">
        <f t="shared" si="1"/>
        <v>1080937.78</v>
      </c>
      <c r="F11" s="54">
        <v>871936.73</v>
      </c>
      <c r="G11" s="54">
        <v>209001.05</v>
      </c>
      <c r="H11" s="30">
        <f>D11/D15</f>
        <v>2.3317645885804352</v>
      </c>
      <c r="I11" s="18"/>
      <c r="J11" s="18"/>
    </row>
    <row r="12" spans="1:10" ht="45" x14ac:dyDescent="0.25">
      <c r="A12" s="20">
        <v>4</v>
      </c>
      <c r="B12" s="21" t="s">
        <v>107</v>
      </c>
      <c r="C12" s="22" t="s">
        <v>50</v>
      </c>
      <c r="D12" s="54">
        <f t="shared" si="0"/>
        <v>65795.660833333342</v>
      </c>
      <c r="E12" s="54">
        <f t="shared" si="1"/>
        <v>988202.18</v>
      </c>
      <c r="F12" s="54">
        <v>789547.93</v>
      </c>
      <c r="G12" s="54">
        <v>198654.25</v>
      </c>
      <c r="H12" s="30">
        <f>D12/D15</f>
        <v>2.111437494049579</v>
      </c>
      <c r="I12" s="18"/>
      <c r="J12" s="18"/>
    </row>
    <row r="13" spans="1:10" ht="30" x14ac:dyDescent="0.25">
      <c r="A13" s="20">
        <v>5</v>
      </c>
      <c r="B13" s="21" t="s">
        <v>108</v>
      </c>
      <c r="C13" s="22" t="s">
        <v>55</v>
      </c>
      <c r="D13" s="54">
        <f t="shared" si="0"/>
        <v>67034.458333333328</v>
      </c>
      <c r="E13" s="54">
        <f t="shared" si="1"/>
        <v>1002069.71</v>
      </c>
      <c r="F13" s="54">
        <v>804413.5</v>
      </c>
      <c r="G13" s="54">
        <v>197656.21</v>
      </c>
      <c r="H13" s="30">
        <f>D13/D15</f>
        <v>2.1511915364272447</v>
      </c>
      <c r="I13" s="18"/>
      <c r="J13" s="18"/>
    </row>
    <row r="14" spans="1:10" x14ac:dyDescent="0.25">
      <c r="A14" s="20">
        <v>6</v>
      </c>
      <c r="B14" s="21" t="s">
        <v>109</v>
      </c>
      <c r="C14" s="22" t="s">
        <v>17</v>
      </c>
      <c r="D14" s="54">
        <f t="shared" si="0"/>
        <v>64166.646666666667</v>
      </c>
      <c r="E14" s="54">
        <f t="shared" si="1"/>
        <v>1001701.17</v>
      </c>
      <c r="F14" s="54">
        <v>769999.76</v>
      </c>
      <c r="G14" s="54">
        <v>231701.41</v>
      </c>
      <c r="H14" s="30">
        <f>D14/D15</f>
        <v>2.0591610742025215</v>
      </c>
      <c r="I14" s="18"/>
      <c r="J14" s="18"/>
    </row>
    <row r="15" spans="1:10" x14ac:dyDescent="0.25">
      <c r="A15" s="20">
        <v>7</v>
      </c>
      <c r="B15" s="106" t="s">
        <v>18</v>
      </c>
      <c r="C15" s="107"/>
      <c r="D15" s="54">
        <f>F15/12/448.1</f>
        <v>31161.548006397381</v>
      </c>
      <c r="E15" s="54">
        <f t="shared" si="1"/>
        <v>188560666.78</v>
      </c>
      <c r="F15" s="54">
        <v>167561875.94</v>
      </c>
      <c r="G15" s="54">
        <v>20998790.84</v>
      </c>
      <c r="H15" s="23"/>
      <c r="I15" s="18"/>
      <c r="J15" s="18"/>
    </row>
    <row r="16" spans="1:10" x14ac:dyDescent="0.25">
      <c r="A16" s="18"/>
      <c r="B16" s="18"/>
      <c r="C16" s="18"/>
      <c r="D16" s="18"/>
      <c r="E16" s="24"/>
      <c r="F16" s="24"/>
      <c r="G16" s="24"/>
      <c r="H16" s="18"/>
      <c r="I16" s="18"/>
      <c r="J16" s="18"/>
    </row>
    <row r="17" spans="1:10" x14ac:dyDescent="0.25">
      <c r="A17" s="108" t="s">
        <v>19</v>
      </c>
      <c r="B17" s="108"/>
      <c r="C17" s="108"/>
      <c r="D17" s="108"/>
      <c r="E17" s="108"/>
      <c r="F17" s="108"/>
      <c r="G17" s="108"/>
      <c r="H17" s="108"/>
      <c r="I17" s="108"/>
      <c r="J17" s="10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 t="s">
        <v>20</v>
      </c>
      <c r="C21" s="25"/>
      <c r="D21" s="26"/>
      <c r="E21" s="27" t="s">
        <v>110</v>
      </c>
      <c r="F21" s="25"/>
      <c r="G21" s="18"/>
      <c r="H21" s="18"/>
      <c r="I21" s="18"/>
      <c r="J21" s="18"/>
    </row>
    <row r="22" spans="1:10" x14ac:dyDescent="0.25">
      <c r="A22" s="18"/>
      <c r="B22" s="18"/>
      <c r="C22" s="28" t="s">
        <v>22</v>
      </c>
      <c r="D22" s="18"/>
      <c r="E22" s="99" t="s">
        <v>23</v>
      </c>
      <c r="F22" s="99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8"/>
      <c r="B24" s="18" t="s">
        <v>17</v>
      </c>
      <c r="C24" s="25"/>
      <c r="D24" s="26"/>
      <c r="E24" s="27" t="s">
        <v>111</v>
      </c>
      <c r="F24" s="25"/>
      <c r="G24" s="18"/>
      <c r="H24" s="18"/>
      <c r="I24" s="18"/>
      <c r="J24" s="18"/>
    </row>
    <row r="25" spans="1:10" x14ac:dyDescent="0.25">
      <c r="A25" s="18"/>
      <c r="B25" s="18"/>
      <c r="C25" s="28" t="s">
        <v>22</v>
      </c>
      <c r="D25" s="18"/>
      <c r="E25" s="99" t="s">
        <v>23</v>
      </c>
      <c r="F25" s="99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5">
      <c r="B27" s="17" t="s">
        <v>112</v>
      </c>
    </row>
    <row r="28" spans="1:10" x14ac:dyDescent="0.25">
      <c r="B28" s="17" t="s">
        <v>113</v>
      </c>
    </row>
  </sheetData>
  <mergeCells count="14">
    <mergeCell ref="B15:C15"/>
    <mergeCell ref="A17:J17"/>
    <mergeCell ref="E22:F22"/>
    <mergeCell ref="E25:F25"/>
    <mergeCell ref="A1:H1"/>
    <mergeCell ref="A3:H3"/>
    <mergeCell ref="A4:H4"/>
    <mergeCell ref="A6:A7"/>
    <mergeCell ref="B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32</vt:i4>
      </vt:variant>
    </vt:vector>
  </HeadingPairs>
  <TitlesOfParts>
    <vt:vector size="32" baseType="lpstr">
      <vt:lpstr>Воробьевка</vt:lpstr>
      <vt:lpstr>Каменка</vt:lpstr>
      <vt:lpstr>Богучар</vt:lpstr>
      <vt:lpstr>Н.Девицк</vt:lpstr>
      <vt:lpstr>Семилуки</vt:lpstr>
      <vt:lpstr>В.Хава</vt:lpstr>
      <vt:lpstr>Анна</vt:lpstr>
      <vt:lpstr>Павловск</vt:lpstr>
      <vt:lpstr>Кантемировка</vt:lpstr>
      <vt:lpstr>Ольховатка</vt:lpstr>
      <vt:lpstr>Таловая</vt:lpstr>
      <vt:lpstr>Поворино</vt:lpstr>
      <vt:lpstr>Кашира</vt:lpstr>
      <vt:lpstr>Петропавловка</vt:lpstr>
      <vt:lpstr>Бобров</vt:lpstr>
      <vt:lpstr>Подгорное</vt:lpstr>
      <vt:lpstr>Хохол</vt:lpstr>
      <vt:lpstr>Бутурлиновка</vt:lpstr>
      <vt:lpstr>Панино</vt:lpstr>
      <vt:lpstr>Грибановка</vt:lpstr>
      <vt:lpstr>Борисоглебск</vt:lpstr>
      <vt:lpstr>В.Мамон</vt:lpstr>
      <vt:lpstr>Россошь</vt:lpstr>
      <vt:lpstr>Рамонь</vt:lpstr>
      <vt:lpstr>Репьевка</vt:lpstr>
      <vt:lpstr>Н.Усмань</vt:lpstr>
      <vt:lpstr>Терновка</vt:lpstr>
      <vt:lpstr>Новохоперск</vt:lpstr>
      <vt:lpstr>Острогожск</vt:lpstr>
      <vt:lpstr>Эртиль</vt:lpstr>
      <vt:lpstr>Калач</vt:lpstr>
      <vt:lpstr>Лиски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2023-03-02T14:55:06Z</dcterms:modified>
</cp:coreProperties>
</file>