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28"/>
  </bookViews>
  <sheets>
    <sheet name="бсмп8" sheetId="1" r:id="rId1"/>
    <sheet name="гб5" sheetId="2" r:id="rId2"/>
    <sheet name="РД2" sheetId="3" r:id="rId3"/>
    <sheet name="ГБ20" sheetId="4" r:id="rId4"/>
    <sheet name="ВЦЗСИР" sheetId="5" r:id="rId5"/>
    <sheet name="СП4" sheetId="6" r:id="rId6"/>
    <sheet name="ГБ2" sheetId="7" r:id="rId7"/>
    <sheet name="СП2" sheetId="8" r:id="rId8"/>
    <sheet name="ГБ16" sheetId="9" r:id="rId9"/>
    <sheet name="ГБ14" sheetId="10" r:id="rId10"/>
    <sheet name="ГП1" sheetId="11" r:id="rId11"/>
    <sheet name="ГП22" sheetId="12" r:id="rId12"/>
    <sheet name="БСМП1" sheetId="13" r:id="rId13"/>
    <sheet name="СП3" sheetId="14" r:id="rId14"/>
    <sheet name="СП7" sheetId="15" r:id="rId15"/>
    <sheet name="ВССМП" sheetId="16" r:id="rId16"/>
    <sheet name="БСМП10" sheetId="17" r:id="rId17"/>
    <sheet name="ГБ4" sheetId="18" r:id="rId18"/>
    <sheet name="ГП7" sheetId="19" r:id="rId19"/>
    <sheet name="СП6" sheetId="20" r:id="rId20"/>
    <sheet name="ВДКСП2" sheetId="21" r:id="rId21"/>
    <sheet name="РД3" sheetId="22" r:id="rId22"/>
    <sheet name="ГБ11" sheetId="23" r:id="rId23"/>
    <sheet name="ГП18" sheetId="24" r:id="rId24"/>
    <sheet name="ГП10" sheetId="25" r:id="rId25"/>
    <sheet name="СП5" sheetId="26" r:id="rId26"/>
    <sheet name="ГП3" sheetId="28" r:id="rId27"/>
    <sheet name="ГП4" sheetId="29" r:id="rId28"/>
    <sheet name="ГБ3" sheetId="30" r:id="rId29"/>
  </sheets>
  <calcPr calcId="152511"/>
</workbook>
</file>

<file path=xl/calcChain.xml><?xml version="1.0" encoding="utf-8"?>
<calcChain xmlns="http://schemas.openxmlformats.org/spreadsheetml/2006/main">
  <c r="I10" i="4" l="1"/>
  <c r="I11" i="4"/>
  <c r="I12" i="4"/>
  <c r="F17" i="9" l="1"/>
  <c r="D17" i="9" s="1"/>
  <c r="G16" i="9"/>
  <c r="D16" i="9"/>
  <c r="G15" i="9"/>
  <c r="D15" i="9"/>
  <c r="H15" i="9" s="1"/>
  <c r="G14" i="9"/>
  <c r="D14" i="9"/>
  <c r="H14" i="9" s="1"/>
  <c r="G13" i="9"/>
  <c r="D13" i="9"/>
  <c r="G12" i="9"/>
  <c r="D12" i="9"/>
  <c r="G11" i="9"/>
  <c r="D11" i="9"/>
  <c r="H11" i="9" s="1"/>
  <c r="G10" i="9"/>
  <c r="D10" i="9"/>
  <c r="H10" i="9" s="1"/>
  <c r="G9" i="9"/>
  <c r="D9" i="9"/>
  <c r="H16" i="9" l="1"/>
  <c r="H12" i="9"/>
  <c r="H13" i="9"/>
  <c r="H9" i="9"/>
  <c r="E20" i="11" l="1"/>
  <c r="D20" i="11"/>
  <c r="H19" i="11"/>
  <c r="E19" i="11"/>
  <c r="D19" i="11"/>
  <c r="E18" i="11"/>
  <c r="D18" i="11"/>
  <c r="H18" i="11" s="1"/>
  <c r="E17" i="11"/>
  <c r="D17" i="11"/>
  <c r="H17" i="11" s="1"/>
  <c r="H16" i="11"/>
  <c r="E16" i="11"/>
  <c r="D16" i="11"/>
  <c r="H15" i="11"/>
  <c r="E15" i="11"/>
  <c r="D15" i="11"/>
  <c r="E14" i="11"/>
  <c r="D14" i="11"/>
  <c r="H14" i="11" s="1"/>
  <c r="E13" i="11"/>
  <c r="D13" i="11"/>
  <c r="H13" i="11" s="1"/>
  <c r="H12" i="11"/>
  <c r="E12" i="11"/>
  <c r="D12" i="11"/>
  <c r="H11" i="11"/>
  <c r="E11" i="11"/>
  <c r="D11" i="11"/>
  <c r="E10" i="11"/>
  <c r="D10" i="11"/>
  <c r="H10" i="11" s="1"/>
  <c r="E9" i="11"/>
  <c r="D9" i="11"/>
  <c r="H9" i="11" s="1"/>
  <c r="E11" i="5" l="1"/>
  <c r="H10" i="5"/>
  <c r="E10" i="5"/>
  <c r="D10" i="5"/>
  <c r="E9" i="5"/>
  <c r="D9" i="5"/>
  <c r="H9" i="5" s="1"/>
  <c r="E13" i="4" l="1"/>
  <c r="D13" i="4" s="1"/>
  <c r="E12" i="4"/>
  <c r="D12" i="4" s="1"/>
  <c r="E11" i="4"/>
  <c r="D11" i="4" s="1"/>
  <c r="E10" i="4"/>
  <c r="D10" i="4" s="1"/>
  <c r="H10" i="4" s="1"/>
  <c r="E9" i="4"/>
  <c r="D9" i="4"/>
  <c r="H11" i="4" l="1"/>
  <c r="H12" i="4"/>
  <c r="H9" i="4"/>
  <c r="E13" i="20"/>
  <c r="D13" i="20"/>
  <c r="H12" i="20"/>
  <c r="E12" i="20"/>
  <c r="D12" i="20"/>
  <c r="E11" i="20"/>
  <c r="D11" i="20"/>
  <c r="H11" i="20" s="1"/>
  <c r="E10" i="20"/>
  <c r="D10" i="20"/>
  <c r="H10" i="20" s="1"/>
  <c r="H9" i="20"/>
  <c r="E9" i="20"/>
  <c r="D9" i="20"/>
  <c r="E15" i="30" l="1"/>
  <c r="D15" i="30"/>
  <c r="E14" i="30"/>
  <c r="D14" i="30"/>
  <c r="E13" i="30"/>
  <c r="D13" i="30"/>
  <c r="E12" i="30"/>
  <c r="D12" i="30" s="1"/>
  <c r="E11" i="30"/>
  <c r="D11" i="30" s="1"/>
  <c r="E10" i="30"/>
  <c r="D10" i="30"/>
  <c r="E9" i="30"/>
  <c r="D9" i="30"/>
  <c r="H13" i="30" l="1"/>
  <c r="H10" i="30"/>
  <c r="H11" i="30"/>
  <c r="H9" i="30"/>
  <c r="H14" i="30"/>
  <c r="H12" i="30"/>
  <c r="E21" i="29" l="1"/>
  <c r="D21" i="29"/>
  <c r="E20" i="29"/>
  <c r="D20" i="29"/>
  <c r="E19" i="29"/>
  <c r="D19" i="29"/>
  <c r="E18" i="29"/>
  <c r="D18" i="29"/>
  <c r="E17" i="29"/>
  <c r="D17" i="29"/>
  <c r="E16" i="29"/>
  <c r="D16" i="29"/>
  <c r="E15" i="29"/>
  <c r="D15" i="29"/>
  <c r="E14" i="29"/>
  <c r="D14" i="29"/>
  <c r="E13" i="29"/>
  <c r="D13" i="29"/>
  <c r="E12" i="29"/>
  <c r="D12" i="29"/>
  <c r="E11" i="29"/>
  <c r="D11" i="29"/>
  <c r="E10" i="29"/>
  <c r="D10" i="29"/>
  <c r="E9" i="29"/>
  <c r="D9" i="29"/>
  <c r="H9" i="29" s="1"/>
  <c r="H14" i="29" l="1"/>
  <c r="H20" i="29"/>
  <c r="H17" i="29"/>
  <c r="H16" i="29"/>
  <c r="H12" i="29"/>
  <c r="H13" i="29"/>
  <c r="H11" i="29"/>
  <c r="H10" i="29"/>
  <c r="H19" i="29"/>
  <c r="H15" i="29"/>
  <c r="H18" i="29"/>
  <c r="E21" i="28"/>
  <c r="H20" i="28"/>
  <c r="E20" i="28"/>
  <c r="H19" i="28"/>
  <c r="E19" i="28"/>
  <c r="H18" i="28"/>
  <c r="E18" i="28"/>
  <c r="H17" i="28"/>
  <c r="E17" i="28"/>
  <c r="H16" i="28"/>
  <c r="E16" i="28"/>
  <c r="H15" i="28"/>
  <c r="E15" i="28"/>
  <c r="H14" i="28"/>
  <c r="E14" i="28"/>
  <c r="H13" i="28"/>
  <c r="E13" i="28"/>
  <c r="H12" i="28"/>
  <c r="E12" i="28"/>
  <c r="H11" i="28"/>
  <c r="E11" i="28"/>
  <c r="H10" i="28"/>
  <c r="E10" i="28"/>
  <c r="H9" i="28"/>
  <c r="E9" i="28"/>
  <c r="E12" i="26" l="1"/>
  <c r="D12" i="26"/>
  <c r="E11" i="26"/>
  <c r="D11" i="26"/>
  <c r="E10" i="26"/>
  <c r="D10" i="26"/>
  <c r="E9" i="26"/>
  <c r="D9" i="26"/>
  <c r="E17" i="25" l="1"/>
  <c r="D17" i="25"/>
  <c r="G16" i="25"/>
  <c r="E16" i="25" s="1"/>
  <c r="D16" i="25"/>
  <c r="G15" i="25"/>
  <c r="F15" i="25"/>
  <c r="D15" i="25" s="1"/>
  <c r="G14" i="25"/>
  <c r="F14" i="25"/>
  <c r="G13" i="25"/>
  <c r="E13" i="25" s="1"/>
  <c r="D13" i="25"/>
  <c r="G12" i="25"/>
  <c r="E12" i="25" s="1"/>
  <c r="D12" i="25"/>
  <c r="G11" i="25"/>
  <c r="E11" i="25" s="1"/>
  <c r="D11" i="25"/>
  <c r="H11" i="25" s="1"/>
  <c r="G10" i="25"/>
  <c r="E10" i="25" s="1"/>
  <c r="D10" i="25"/>
  <c r="G9" i="25"/>
  <c r="E9" i="25" s="1"/>
  <c r="D9" i="25"/>
  <c r="H9" i="25" s="1"/>
  <c r="H12" i="25" l="1"/>
  <c r="H10" i="25"/>
  <c r="H13" i="25"/>
  <c r="E15" i="25"/>
  <c r="H15" i="25"/>
  <c r="H16" i="25"/>
  <c r="E14" i="25"/>
  <c r="D14" i="25"/>
  <c r="H14" i="25" s="1"/>
  <c r="E17" i="24" l="1"/>
  <c r="D17" i="24"/>
  <c r="E16" i="24"/>
  <c r="D16" i="24"/>
  <c r="E15" i="24"/>
  <c r="D15" i="24"/>
  <c r="E14" i="24"/>
  <c r="D14" i="24"/>
  <c r="E13" i="24"/>
  <c r="D13" i="24"/>
  <c r="E12" i="24"/>
  <c r="D12" i="24"/>
  <c r="E11" i="24"/>
  <c r="D11" i="24"/>
  <c r="E10" i="24"/>
  <c r="D10" i="24"/>
  <c r="E9" i="24"/>
  <c r="D9" i="24"/>
  <c r="H9" i="24" l="1"/>
  <c r="H16" i="24"/>
  <c r="H14" i="24"/>
  <c r="H15" i="24"/>
  <c r="H11" i="24"/>
  <c r="H13" i="24"/>
  <c r="H10" i="24"/>
  <c r="H12" i="24"/>
  <c r="E18" i="23"/>
  <c r="D17" i="23"/>
  <c r="H17" i="23" s="1"/>
  <c r="D16" i="23"/>
  <c r="H16" i="23" s="1"/>
  <c r="D15" i="23"/>
  <c r="H15" i="23" s="1"/>
  <c r="D14" i="23"/>
  <c r="H14" i="23" s="1"/>
  <c r="D13" i="23"/>
  <c r="H13" i="23" s="1"/>
  <c r="D12" i="23"/>
  <c r="H12" i="23" s="1"/>
  <c r="D11" i="23"/>
  <c r="H11" i="23" s="1"/>
  <c r="D10" i="23"/>
  <c r="H10" i="23" s="1"/>
  <c r="D9" i="23"/>
  <c r="H9" i="23" s="1"/>
  <c r="E14" i="22" l="1"/>
  <c r="E13" i="22"/>
  <c r="D13" i="22"/>
  <c r="H13" i="22" s="1"/>
  <c r="E12" i="22"/>
  <c r="D12" i="22"/>
  <c r="H12" i="22" s="1"/>
  <c r="E11" i="22"/>
  <c r="D11" i="22"/>
  <c r="H11" i="22" s="1"/>
  <c r="E10" i="22"/>
  <c r="D10" i="22"/>
  <c r="H10" i="22" s="1"/>
  <c r="E9" i="22"/>
  <c r="D9" i="22"/>
  <c r="H9" i="22" s="1"/>
  <c r="E12" i="21" l="1"/>
  <c r="H11" i="21"/>
  <c r="E11" i="21"/>
  <c r="H10" i="21"/>
  <c r="E10" i="21"/>
  <c r="H9" i="21"/>
  <c r="E9" i="21"/>
  <c r="E20" i="19" l="1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H14" i="19" s="1"/>
  <c r="E13" i="19"/>
  <c r="D13" i="19"/>
  <c r="E12" i="19"/>
  <c r="D12" i="19"/>
  <c r="H12" i="19" s="1"/>
  <c r="E11" i="19"/>
  <c r="D11" i="19"/>
  <c r="E10" i="19"/>
  <c r="D10" i="19"/>
  <c r="H10" i="19" s="1"/>
  <c r="E9" i="19"/>
  <c r="D9" i="19"/>
  <c r="H16" i="19" l="1"/>
  <c r="H17" i="19"/>
  <c r="H18" i="19"/>
  <c r="H9" i="19"/>
  <c r="H19" i="19"/>
  <c r="H11" i="19"/>
  <c r="H13" i="19"/>
  <c r="H15" i="19"/>
  <c r="E17" i="18"/>
  <c r="D17" i="18"/>
  <c r="E16" i="18"/>
  <c r="D16" i="18"/>
  <c r="E15" i="18"/>
  <c r="D15" i="18"/>
  <c r="E14" i="18"/>
  <c r="D14" i="18"/>
  <c r="E13" i="18"/>
  <c r="D13" i="18"/>
  <c r="E12" i="18"/>
  <c r="D12" i="18"/>
  <c r="E11" i="18"/>
  <c r="D11" i="18"/>
  <c r="H11" i="18" s="1"/>
  <c r="E10" i="18"/>
  <c r="D10" i="18"/>
  <c r="E9" i="18"/>
  <c r="D9" i="18"/>
  <c r="H9" i="18" s="1"/>
  <c r="H13" i="18" l="1"/>
  <c r="H14" i="18"/>
  <c r="H12" i="18"/>
  <c r="H10" i="18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H13" i="17" s="1"/>
  <c r="E12" i="17"/>
  <c r="D12" i="17"/>
  <c r="E11" i="17"/>
  <c r="D11" i="17"/>
  <c r="H11" i="17" s="1"/>
  <c r="E10" i="17"/>
  <c r="D10" i="17"/>
  <c r="E9" i="17"/>
  <c r="D9" i="17"/>
  <c r="H9" i="17" s="1"/>
  <c r="H15" i="17" l="1"/>
  <c r="H10" i="17"/>
  <c r="H14" i="17"/>
  <c r="H18" i="17"/>
  <c r="H16" i="17"/>
  <c r="H17" i="17"/>
  <c r="H12" i="17"/>
  <c r="G16" i="16" l="1"/>
  <c r="D16" i="16"/>
  <c r="H16" i="16" s="1"/>
  <c r="G15" i="16"/>
  <c r="D15" i="16"/>
  <c r="G14" i="16"/>
  <c r="D14" i="16"/>
  <c r="G13" i="16"/>
  <c r="D13" i="16"/>
  <c r="G12" i="16"/>
  <c r="D12" i="16"/>
  <c r="G11" i="16"/>
  <c r="D11" i="16"/>
  <c r="G10" i="16"/>
  <c r="D10" i="16"/>
  <c r="H10" i="16" s="1"/>
  <c r="G9" i="16"/>
  <c r="D9" i="16"/>
  <c r="H12" i="16" l="1"/>
  <c r="H11" i="16"/>
  <c r="H13" i="16"/>
  <c r="H15" i="16"/>
  <c r="H14" i="16"/>
  <c r="H9" i="16"/>
  <c r="E13" i="14"/>
  <c r="D13" i="14"/>
  <c r="D12" i="14"/>
  <c r="E11" i="14"/>
  <c r="D11" i="14"/>
  <c r="D10" i="14"/>
  <c r="D9" i="14"/>
  <c r="G21" i="13" l="1"/>
  <c r="F21" i="13"/>
  <c r="E20" i="13"/>
  <c r="D20" i="13"/>
  <c r="H20" i="13" s="1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H12" i="13" s="1"/>
  <c r="E11" i="13"/>
  <c r="D11" i="13"/>
  <c r="E10" i="13"/>
  <c r="D10" i="13"/>
  <c r="H10" i="13" s="1"/>
  <c r="E9" i="13"/>
  <c r="D9" i="13"/>
  <c r="H14" i="13" l="1"/>
  <c r="H16" i="13"/>
  <c r="H18" i="13"/>
  <c r="H9" i="13"/>
  <c r="H13" i="13"/>
  <c r="H11" i="13"/>
  <c r="H15" i="13"/>
  <c r="H17" i="13"/>
  <c r="H19" i="13"/>
  <c r="E21" i="13"/>
  <c r="F16" i="12"/>
  <c r="D16" i="12" s="1"/>
  <c r="E15" i="12"/>
  <c r="D15" i="12"/>
  <c r="E14" i="12"/>
  <c r="D14" i="12"/>
  <c r="E13" i="12"/>
  <c r="D13" i="12"/>
  <c r="E12" i="12"/>
  <c r="D12" i="12"/>
  <c r="E11" i="12"/>
  <c r="D11" i="12"/>
  <c r="E10" i="12"/>
  <c r="D10" i="12"/>
  <c r="E9" i="12"/>
  <c r="D9" i="12"/>
  <c r="H13" i="12" l="1"/>
  <c r="H10" i="12"/>
  <c r="H12" i="12"/>
  <c r="H9" i="12"/>
  <c r="H11" i="12"/>
  <c r="H15" i="12"/>
  <c r="H14" i="12"/>
  <c r="F12" i="10" l="1"/>
  <c r="F11" i="10"/>
  <c r="D11" i="10" s="1"/>
  <c r="F10" i="10"/>
  <c r="F9" i="10"/>
  <c r="D9" i="10" s="1"/>
  <c r="H9" i="10" s="1"/>
  <c r="H11" i="10" l="1"/>
  <c r="H10" i="10"/>
  <c r="E12" i="8" l="1"/>
  <c r="D12" i="8"/>
  <c r="E11" i="8"/>
  <c r="D11" i="8"/>
  <c r="E10" i="8"/>
  <c r="D10" i="8"/>
  <c r="E9" i="8"/>
  <c r="D9" i="8"/>
  <c r="H11" i="8" l="1"/>
  <c r="H9" i="8"/>
  <c r="H10" i="8"/>
  <c r="E15" i="7"/>
  <c r="D15" i="7"/>
  <c r="E14" i="7"/>
  <c r="D14" i="7"/>
  <c r="E13" i="7"/>
  <c r="D13" i="7"/>
  <c r="E12" i="7"/>
  <c r="D12" i="7"/>
  <c r="E11" i="7"/>
  <c r="D11" i="7"/>
  <c r="H11" i="7" s="1"/>
  <c r="E10" i="7"/>
  <c r="D10" i="7"/>
  <c r="E9" i="7"/>
  <c r="D9" i="7"/>
  <c r="H13" i="7" l="1"/>
  <c r="H10" i="7"/>
  <c r="H9" i="7"/>
  <c r="H12" i="7"/>
  <c r="H14" i="7"/>
  <c r="D15" i="6"/>
  <c r="H9" i="6" s="1"/>
  <c r="E14" i="6"/>
  <c r="D14" i="6"/>
  <c r="E13" i="6"/>
  <c r="D13" i="6"/>
  <c r="E12" i="6"/>
  <c r="D12" i="6"/>
  <c r="E11" i="6"/>
  <c r="D11" i="6"/>
  <c r="E10" i="6"/>
  <c r="D10" i="6"/>
  <c r="E9" i="6"/>
  <c r="D9" i="6"/>
  <c r="H14" i="6" l="1"/>
  <c r="E15" i="3" l="1"/>
  <c r="F14" i="3"/>
  <c r="D14" i="3" s="1"/>
  <c r="F13" i="3"/>
  <c r="D13" i="3" s="1"/>
  <c r="F12" i="3"/>
  <c r="D12" i="3" s="1"/>
  <c r="F11" i="3"/>
  <c r="D11" i="3" s="1"/>
  <c r="G10" i="3"/>
  <c r="F10" i="3" s="1"/>
  <c r="D10" i="3" s="1"/>
  <c r="G9" i="3"/>
  <c r="G15" i="3" l="1"/>
  <c r="F15" i="3" s="1"/>
  <c r="D15" i="3" s="1"/>
  <c r="H13" i="3" s="1"/>
  <c r="F9" i="3"/>
  <c r="D9" i="3" s="1"/>
  <c r="H9" i="3" l="1"/>
  <c r="H11" i="3"/>
  <c r="H12" i="3"/>
  <c r="H14" i="3"/>
  <c r="H10" i="3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A10" i="2"/>
  <c r="A11" i="2" s="1"/>
  <c r="A12" i="2" s="1"/>
  <c r="A13" i="2" s="1"/>
  <c r="A14" i="2" s="1"/>
  <c r="A15" i="2" s="1"/>
  <c r="A16" i="2" s="1"/>
  <c r="E9" i="2"/>
  <c r="D9" i="2"/>
  <c r="H14" i="2" l="1"/>
  <c r="H15" i="2"/>
  <c r="H11" i="2"/>
  <c r="H13" i="2"/>
  <c r="H9" i="2"/>
  <c r="H10" i="2"/>
  <c r="H12" i="2"/>
</calcChain>
</file>

<file path=xl/sharedStrings.xml><?xml version="1.0" encoding="utf-8"?>
<sst xmlns="http://schemas.openxmlformats.org/spreadsheetml/2006/main" count="1059" uniqueCount="371">
  <si>
    <t xml:space="preserve"> Информация о среднемесячной заработной плате руководителей, заместителей руководителей, главных бухгалтеров  государственных учреждений  Воронежской области </t>
  </si>
  <si>
    <t>за 2022 год</t>
  </si>
  <si>
    <t>БУЗ ВО "ВГКБСМП №8"</t>
  </si>
  <si>
    <t>(наименование учреждения)</t>
  </si>
  <si>
    <t>№ п/п</t>
  </si>
  <si>
    <t>Фамилия, имя, отчество</t>
  </si>
  <si>
    <t>Наименование должности</t>
  </si>
  <si>
    <t>Среднемесячная заработная плата , руб.(гр. 6/12)</t>
  </si>
  <si>
    <t>Фонд оплаты труда, всего, руб. (гр. 6+гр. 7)</t>
  </si>
  <si>
    <t>В том числе:</t>
  </si>
  <si>
    <t xml:space="preserve">Соотношение заработной платы руководящего состава и работников </t>
  </si>
  <si>
    <t>Фонд оплаты труда, учитываемый в расчете средего заработка, руб. (*)</t>
  </si>
  <si>
    <t>Фонд оплаты труда, не учитываемый в расчете средего заработка, руб. (*)</t>
  </si>
  <si>
    <t>Попов Станислав Сергеевич</t>
  </si>
  <si>
    <t>Главный врач</t>
  </si>
  <si>
    <t>Сороколетова Наталья Михайловна</t>
  </si>
  <si>
    <t>Заместитель главного врача по медицинской части</t>
  </si>
  <si>
    <t>Сорокина Наталья Алексеевна</t>
  </si>
  <si>
    <t>Заместитель главного врача по лечебной части медицинского центра</t>
  </si>
  <si>
    <t>Деркачева Ольга Юрьевна</t>
  </si>
  <si>
    <t>Заместитель главного врача по клинико-экспертной работе</t>
  </si>
  <si>
    <t>Железняков Дмитрий Александрович</t>
  </si>
  <si>
    <t>Заместитель главного врача по организационно-методической работе</t>
  </si>
  <si>
    <t>уволен 28.12.2021</t>
  </si>
  <si>
    <t>Птицын Сергей Владимирович</t>
  </si>
  <si>
    <t>Василенко Надежда Васильевна</t>
  </si>
  <si>
    <t>Главная медицинская сестра</t>
  </si>
  <si>
    <t>Че Оксана Чонгиевна</t>
  </si>
  <si>
    <t>Главный бухгалтер</t>
  </si>
  <si>
    <t>принята на работу 28.09.2022</t>
  </si>
  <si>
    <t>Прочие работники учреждения</t>
  </si>
  <si>
    <t>(*) В соответствии с Постановлением Правительства РФ от 24.12.2007 № 922 "Об особенностях порядка исчисления средней заработной платы"</t>
  </si>
  <si>
    <t>Попов С.С.</t>
  </si>
  <si>
    <t>(подпись)</t>
  </si>
  <si>
    <t>(Ф.И.О.)</t>
  </si>
  <si>
    <t>Че О.Ч.</t>
  </si>
  <si>
    <t>Бюджетное учреждение здравоохранения Воронежской области "Воронежская городская больница №5"</t>
  </si>
  <si>
    <t>Пасечный Сергей Николаевич</t>
  </si>
  <si>
    <t>Главный врач (руководитель, директор)</t>
  </si>
  <si>
    <t>Портнягина Ирина Анатольевна</t>
  </si>
  <si>
    <t>Колесник Вадим Дмитриевич</t>
  </si>
  <si>
    <t>Заместитель главного врача по сети</t>
  </si>
  <si>
    <t>Труфанова Наталья Анатольевна</t>
  </si>
  <si>
    <t xml:space="preserve">Заместитель главного врача по клинико-экспертной работе </t>
  </si>
  <si>
    <t>Бортникова Юлия Юрьевна</t>
  </si>
  <si>
    <t>Заместитель главного врача по  детской поликлинике</t>
  </si>
  <si>
    <t>Калинина Ирина Викторовна</t>
  </si>
  <si>
    <t>Заместитель главного врача по экономическим вопросам</t>
  </si>
  <si>
    <t>Киричок Светлана Ивановна</t>
  </si>
  <si>
    <t>-</t>
  </si>
  <si>
    <t>Руководитель (главный врач)</t>
  </si>
  <si>
    <t>С.Н. Пасечный</t>
  </si>
  <si>
    <t>С.И. Киричок</t>
  </si>
  <si>
    <t>БУЗ ВО "Воронежский родильный дом № 2"</t>
  </si>
  <si>
    <t>Легостаева Валентина Алексеевна</t>
  </si>
  <si>
    <t>Родионова Лариса Михайловна</t>
  </si>
  <si>
    <t>Ладная Ирина Петровна</t>
  </si>
  <si>
    <t>Еремина Наталья Геннадьевна</t>
  </si>
  <si>
    <t>Бахметьева Валентина Ивановна</t>
  </si>
  <si>
    <t>Дуничева Юлия Сергеевна</t>
  </si>
  <si>
    <t>В.А. Легостаева</t>
  </si>
  <si>
    <t>Ю.С. Дуничева</t>
  </si>
  <si>
    <t>БУЗ ВО "ВГКБ № 20"</t>
  </si>
  <si>
    <t>Заместитель главного врача (руководителя, директора)...</t>
  </si>
  <si>
    <t>Л.В. Пышнограева</t>
  </si>
  <si>
    <t>И.В.Авдеева</t>
  </si>
  <si>
    <t>БУЗ ВО " ВЦОЗСиР"</t>
  </si>
  <si>
    <t>Вандышев И.В.</t>
  </si>
  <si>
    <t>Житникова Т.А.</t>
  </si>
  <si>
    <t>БУЗ ВО "ВКСП № 4"</t>
  </si>
  <si>
    <t>Проценко Наталия Алексеевна</t>
  </si>
  <si>
    <t>…..</t>
  </si>
  <si>
    <t>Бабаева Марина Борисовна</t>
  </si>
  <si>
    <t>Проценко Н.А.</t>
  </si>
  <si>
    <t>Бабаева М.Б.</t>
  </si>
  <si>
    <t>БУЗ ВГКБ №2 им. К.В. Федяевского</t>
  </si>
  <si>
    <t xml:space="preserve">Воронина Елена Валерьевна </t>
  </si>
  <si>
    <t xml:space="preserve">Главный врач </t>
  </si>
  <si>
    <t xml:space="preserve">Кузьмина Олеся Игоревна </t>
  </si>
  <si>
    <t xml:space="preserve">Михайлова Галина Николаевна </t>
  </si>
  <si>
    <t xml:space="preserve">Золотухина Елена Семеновна </t>
  </si>
  <si>
    <t xml:space="preserve">Дронова Елена Викторовна </t>
  </si>
  <si>
    <t xml:space="preserve">Главная медицинская сестра </t>
  </si>
  <si>
    <t xml:space="preserve">Батраков Антон Александрович </t>
  </si>
  <si>
    <t>Воронина Е.В.</t>
  </si>
  <si>
    <t>Зам.главного бухгалтера</t>
  </si>
  <si>
    <t xml:space="preserve">       Вознесенская Н.С.</t>
  </si>
  <si>
    <t>БУЗ ВО "Воронежская стоматологическая поликлиника № 2"</t>
  </si>
  <si>
    <t>Осипов Станислав Евгеньевич</t>
  </si>
  <si>
    <t>Барабанова Людмила Егоровна</t>
  </si>
  <si>
    <t>Попова Наталья Викторовна</t>
  </si>
  <si>
    <t>Осипов С.Е.</t>
  </si>
  <si>
    <t>Попова Н.В.</t>
  </si>
  <si>
    <t>БУЗ ВО "ВГБ №16"</t>
  </si>
  <si>
    <t>Богатищев О.А.</t>
  </si>
  <si>
    <t>Добрина С.И.</t>
  </si>
  <si>
    <t>БУЗ ВО "Воронежская городская больница № 14"</t>
  </si>
  <si>
    <t>Митрофанова Татьяна Георгиевна</t>
  </si>
  <si>
    <t>Кирьянова Наталья Сергеевна</t>
  </si>
  <si>
    <t>Чернышова Наталия Геннадьевна</t>
  </si>
  <si>
    <t>Митрофанова Т.Г.</t>
  </si>
  <si>
    <t>Чернышова Н.Г.</t>
  </si>
  <si>
    <t>БУЗ ВО "Воронежская городская клиническая поликлиника № 1"</t>
  </si>
  <si>
    <t>Белозерова Елена Владимировна</t>
  </si>
  <si>
    <t>Однолько Ольга Владимирвна</t>
  </si>
  <si>
    <t>Савельева Юлия Евгеньевна</t>
  </si>
  <si>
    <t>Калинина Людмила Борисовна</t>
  </si>
  <si>
    <t>Ковалёва Наталья Александровна</t>
  </si>
  <si>
    <t>Маркова Екатерина Валерьевна</t>
  </si>
  <si>
    <t>Овсянников Сергей Владимирович</t>
  </si>
  <si>
    <t>Тесленко Елена Николаевна</t>
  </si>
  <si>
    <t>Фурсова Наталия Борисовна</t>
  </si>
  <si>
    <t>Степаненко Екатерина Николаевна</t>
  </si>
  <si>
    <t>БУЗ ВО "ВОРОНЕЖСКАЯ ГОРОДСКАЯ ПОЛИКЛИНИКА №22"</t>
  </si>
  <si>
    <t>Попов Александр Михайлович</t>
  </si>
  <si>
    <t>Михеева Екатерина Сергеевна</t>
  </si>
  <si>
    <t>Лихачев Валерий Алексеевич</t>
  </si>
  <si>
    <t>Заместитель главного врача по КЭР</t>
  </si>
  <si>
    <t>Пылева Лидия Владимировна</t>
  </si>
  <si>
    <t>Заместитель главного врача по ОМР</t>
  </si>
  <si>
    <t>Власова Татьяна Михайловна</t>
  </si>
  <si>
    <t>Силантьева Ирина Владимировна</t>
  </si>
  <si>
    <t>И.О.Главный бухгалтер</t>
  </si>
  <si>
    <t>Пекшева Вера Александровна</t>
  </si>
  <si>
    <t>А.М.Попов</t>
  </si>
  <si>
    <t>И.В.Силантьева</t>
  </si>
  <si>
    <t>БУЗ ВО  "ВГКБСМП №1"</t>
  </si>
  <si>
    <t>Банин Игорь Николаевич</t>
  </si>
  <si>
    <t>Боева Зинаида Ивановна</t>
  </si>
  <si>
    <t>Заместитель главного врача по технике</t>
  </si>
  <si>
    <t>Жильцов Михаил Алексеевич</t>
  </si>
  <si>
    <t>Козлова Нелли Васильевна</t>
  </si>
  <si>
    <t>Заместитель главного врача по работе с сестринским персоналом</t>
  </si>
  <si>
    <t>Лютиков Юрий Владимирович</t>
  </si>
  <si>
    <t>Натаров Алексей Алексеевич</t>
  </si>
  <si>
    <t>Попова Софья Евгеньевна</t>
  </si>
  <si>
    <t>Прокуророва Анна Николаевна</t>
  </si>
  <si>
    <t>Усов Юрий Викторович</t>
  </si>
  <si>
    <t>Заместитель главного врача по хирургии</t>
  </si>
  <si>
    <t>Шмидт Любовь Аркадьевна</t>
  </si>
  <si>
    <t>Заместитель главного врача по кадрам</t>
  </si>
  <si>
    <t>Ярмонов Сергей Николаевич</t>
  </si>
  <si>
    <t>Банин И.Н.</t>
  </si>
  <si>
    <t>Попова  С.Е.</t>
  </si>
  <si>
    <t>БУЗ ВО "ВКСП №3"</t>
  </si>
  <si>
    <t>Петросян Виктор Сергеевич</t>
  </si>
  <si>
    <t>Седых Екатерина Юрьевна</t>
  </si>
  <si>
    <t>Енина Анна Петровна</t>
  </si>
  <si>
    <t>Жилина Ольга Анатольевна</t>
  </si>
  <si>
    <t>Заложных Сергей Митрофанович</t>
  </si>
  <si>
    <t>Начальник хозяйственного отдела</t>
  </si>
  <si>
    <t>Петросян В.С.</t>
  </si>
  <si>
    <t>И.о. главного бухгалтера</t>
  </si>
  <si>
    <t>Самофалова Н.С.</t>
  </si>
  <si>
    <t>Автономное учреждение здравоохранения Воронежской области "Воронежская клиническая стоматологическая поликлиника № 7"</t>
  </si>
  <si>
    <t>Заместитель главного врача по лечебной работе</t>
  </si>
  <si>
    <t>Д.В. Некрылов</t>
  </si>
  <si>
    <t>Т.М. Панкова</t>
  </si>
  <si>
    <t>БУЗ ВО ВССМП</t>
  </si>
  <si>
    <t>Рожков С.А.</t>
  </si>
  <si>
    <t>заместитель главного вpача по медицинской части</t>
  </si>
  <si>
    <t xml:space="preserve">Заместитель главного врача по оперативной работе </t>
  </si>
  <si>
    <t xml:space="preserve">Заместитель главного вpача по экономическим вопpосам </t>
  </si>
  <si>
    <t xml:space="preserve">заместитель главного врача по технике </t>
  </si>
  <si>
    <t xml:space="preserve">заместитель главного врача по хозяйственным вопросам </t>
  </si>
  <si>
    <t>Ряузова н.П.</t>
  </si>
  <si>
    <t xml:space="preserve"> БУЗ ВО "ВГКБСМП № 10"    </t>
  </si>
  <si>
    <t>Иванов 
Михаил Васильевич</t>
  </si>
  <si>
    <t>Авдеев 
Алексей Николаевич</t>
  </si>
  <si>
    <t xml:space="preserve">Заместитель главного врача по медицинской части </t>
  </si>
  <si>
    <t>Горлунов 
Александр Васильевич</t>
  </si>
  <si>
    <t>Заместитель главного врача по хирургической помощи</t>
  </si>
  <si>
    <t>Гришкин   Игорь Владимирович</t>
  </si>
  <si>
    <t>Заместитель главного врача по родовспоможению</t>
  </si>
  <si>
    <t>Кондратенко Наталья Александровна</t>
  </si>
  <si>
    <t>Якунина 
Елена Николаевна</t>
  </si>
  <si>
    <t xml:space="preserve">Брыжахина 
Юлия Борисовна </t>
  </si>
  <si>
    <t>Заместитель главного врача по правовой и кадровой работе</t>
  </si>
  <si>
    <t>Халяпина 
Ирина Константиновна</t>
  </si>
  <si>
    <t>Тютин Виталий                       Николаевич</t>
  </si>
  <si>
    <t>Заместитель главного врача по хозяйственной части</t>
  </si>
  <si>
    <t>Бондарева 
Светлана Викторовна</t>
  </si>
  <si>
    <t>Х</t>
  </si>
  <si>
    <t>Иванов М.В.</t>
  </si>
  <si>
    <t>Бондарева С.В.</t>
  </si>
  <si>
    <t>БУЗ ВО "Воронежская городская больница № 4"</t>
  </si>
  <si>
    <t>Черкашенко Татьяна Анатольевна</t>
  </si>
  <si>
    <t>Привалова Ирина Алексеевна</t>
  </si>
  <si>
    <t>Яковлева Елена Ивановна</t>
  </si>
  <si>
    <t>Воробей Инна Викторовна           (с 01.01.22 по 31.10.22)           Пожилых Ирина Сергеевна          (с 01.11.22 по 31.12.22)</t>
  </si>
  <si>
    <t>Климова Татьяна Владимировна</t>
  </si>
  <si>
    <t>Босых Жанна Валерьевна</t>
  </si>
  <si>
    <t>Петров Александр Евгеньевич</t>
  </si>
  <si>
    <t>Начальник ХО</t>
  </si>
  <si>
    <t>Некрасова Надежда Валерьевна</t>
  </si>
  <si>
    <t>Начальник отдела кадров</t>
  </si>
  <si>
    <t xml:space="preserve">бол.лист, мат.помощь, </t>
  </si>
  <si>
    <t>Черкашенко Т.А.</t>
  </si>
  <si>
    <t>Климова Т.В.</t>
  </si>
  <si>
    <t>БУЗ ВО "ВГКП №7"</t>
  </si>
  <si>
    <t>Крысенкова Наталия Александровна</t>
  </si>
  <si>
    <t>Булыгина Елена Васильевна</t>
  </si>
  <si>
    <t>Губанова Наталья Владиславовна</t>
  </si>
  <si>
    <t>Лопатина Ангелина Валерьевна</t>
  </si>
  <si>
    <t>Заместитель главного врача по экономике</t>
  </si>
  <si>
    <t>Кириченко Ольга Викторовна</t>
  </si>
  <si>
    <t>Заместитель главного врача по детским поликлиникам №4, 10, 12</t>
  </si>
  <si>
    <t>Поляков Владимир Александрович</t>
  </si>
  <si>
    <t>Заместитель главного врача по корпусам №5, 6</t>
  </si>
  <si>
    <t>Попович Дмитрий Сергеевич</t>
  </si>
  <si>
    <t>Заместитель главного врача по городским поликлинкам №7, №21</t>
  </si>
  <si>
    <t>Разгоняев Сергей Владимирович</t>
  </si>
  <si>
    <t>Смирнова Ольга Алексеевна</t>
  </si>
  <si>
    <t>Чурсина Светлана Александровна</t>
  </si>
  <si>
    <t>Вострикова Светлана Игоревна</t>
  </si>
  <si>
    <t>Н.А.Крысенкова</t>
  </si>
  <si>
    <t>С.И.Вострикова</t>
  </si>
  <si>
    <t>БУЗ ВО "ВСП №6"</t>
  </si>
  <si>
    <t>Гончарова Л.Я.</t>
  </si>
  <si>
    <t xml:space="preserve">Заместитель главного врача по экономическим вопросам </t>
  </si>
  <si>
    <t>Свиридова Л.Н.</t>
  </si>
  <si>
    <t>БУЗ ВО "Воронежская детская клиническая стоматологическая поликлиника № 2"</t>
  </si>
  <si>
    <t>Лесников Роман Владимирович</t>
  </si>
  <si>
    <t>Азизов Камран Шахварович</t>
  </si>
  <si>
    <t>Яцких Инна Федоровна</t>
  </si>
  <si>
    <t>БУЗ ВО "ВРД № 3"</t>
  </si>
  <si>
    <t>Среднемесячная заработная плата, руб.(гр. 6/12)</t>
  </si>
  <si>
    <t>Рыжиков Ю. С.</t>
  </si>
  <si>
    <t>Заместитель главного врача по хозяйственным вопросам</t>
  </si>
  <si>
    <t>Лепендина Т. А.</t>
  </si>
  <si>
    <t>Бюджетное учреждение здравоохранения Воронежской области "Воронежская городская клиническая больница № 11"</t>
  </si>
  <si>
    <t>Ерохин Юрий Петрович</t>
  </si>
  <si>
    <t>Воронов Виктор Алексеевич ( с 01.01.2022 по 31.05.2022</t>
  </si>
  <si>
    <t>Собкалова Анна Николаевна ( с 24.06.2022 по  31.12.2022)</t>
  </si>
  <si>
    <t>Щербакова Светлана Васильевна</t>
  </si>
  <si>
    <t>Слюсарев Евгений Александрович</t>
  </si>
  <si>
    <t>Ломова Маргарита Александровна</t>
  </si>
  <si>
    <t>Ильяшов Владимир Владимирович</t>
  </si>
  <si>
    <t>Ильина Елена Петровна</t>
  </si>
  <si>
    <t>Юденкова Ольга Сергеевна (с 01.06.2022 по 31.12.2022)</t>
  </si>
  <si>
    <t>Заместитель главного врача по КЭР...</t>
  </si>
  <si>
    <t>БУЗ ВО "ВГКП №18"</t>
  </si>
  <si>
    <t>Колягина Наталия Михайловна</t>
  </si>
  <si>
    <t>Кокорева Лариса Владимировна</t>
  </si>
  <si>
    <t>Худякова Татьяна Сергеевна</t>
  </si>
  <si>
    <t>Труфанова Елена Анатольевна</t>
  </si>
  <si>
    <t>Заместитель главного врача по медицинской профилактике</t>
  </si>
  <si>
    <t>Мирошникова Ирина Владимировна</t>
  </si>
  <si>
    <t>Заместитель главного врача по поликлинике</t>
  </si>
  <si>
    <t>Кудрявцева Юлия Геннадьевна</t>
  </si>
  <si>
    <t>Горбатов Николай Семенович</t>
  </si>
  <si>
    <t>Шаган Марина Владимировна</t>
  </si>
  <si>
    <t>Н.М. Колягина</t>
  </si>
  <si>
    <t>М.В. Шаган</t>
  </si>
  <si>
    <t>БУЗ ВО "Воронежская городская поликлиника №10"</t>
  </si>
  <si>
    <t>Копылов Евгений Николаевич</t>
  </si>
  <si>
    <t>Зиборов Дмитрий Владимирович</t>
  </si>
  <si>
    <t>Елисеева Ирина Викторовна</t>
  </si>
  <si>
    <t>Заместитель главного врача по экспертизе временной нетрудоспособности</t>
  </si>
  <si>
    <t>Бодрова Александра Владимировна</t>
  </si>
  <si>
    <t>Заместитель главного врача по поликлинике детской</t>
  </si>
  <si>
    <t>Просветова Людмила Николаевна</t>
  </si>
  <si>
    <t xml:space="preserve">Заместитель главного врача по поликлинике взрослой </t>
  </si>
  <si>
    <t>Мануковская Диана Ивановна</t>
  </si>
  <si>
    <t>Заместитель главного врача  по экономическим вопросам</t>
  </si>
  <si>
    <t>Каргаполова Нина Дмитриевна</t>
  </si>
  <si>
    <t>Колесникова Татьяна Николаевна</t>
  </si>
  <si>
    <t>И.о.главного врача</t>
  </si>
  <si>
    <t>Зиборов Д.В.</t>
  </si>
  <si>
    <t>Заместитель главного бухгалтера</t>
  </si>
  <si>
    <t>Дробышева М.А.</t>
  </si>
  <si>
    <t>БУЗ ВО "Воронежская стоматологическая поликлиника № 5"</t>
  </si>
  <si>
    <t>Табенская Лариса Владимировна</t>
  </si>
  <si>
    <t>Грызунов Алексей Анатольевич</t>
  </si>
  <si>
    <t>Иванова Ольга Александровна</t>
  </si>
  <si>
    <t>Л.В.Табенская</t>
  </si>
  <si>
    <t>О.А.Иванова</t>
  </si>
  <si>
    <t>БУЗ ВО "ВГКБ №3"</t>
  </si>
  <si>
    <t>Мельникова Алла Викторовна</t>
  </si>
  <si>
    <t>Хаустов Владимир Игорьевич</t>
  </si>
  <si>
    <t>Турбина Наталия Ивановна</t>
  </si>
  <si>
    <t>Хижняк Элина Александровна</t>
  </si>
  <si>
    <t>Дрожжина Ольга Ивановна</t>
  </si>
  <si>
    <t>Хаваева Наталья Ивановна</t>
  </si>
  <si>
    <t>Мельникова А.В.</t>
  </si>
  <si>
    <t>Хаваева Н.И.</t>
  </si>
  <si>
    <t>Исп. Дрожжина</t>
  </si>
  <si>
    <t>202-77-99</t>
  </si>
  <si>
    <t>БУЗ ВО "ВГП № 3"</t>
  </si>
  <si>
    <t>ПОПОВА ЮЛИЯ ВЛАДИМИРОВНА</t>
  </si>
  <si>
    <t>ВОЛЛИС ЕКАТЕРИНА АЛЕКСАНДРОВНА</t>
  </si>
  <si>
    <t>МИНАКОВА НАТАЛЬЯ ВЯЧЕСЛАВОВНА</t>
  </si>
  <si>
    <t>Заместитель главного врача по поликлинике (детской)</t>
  </si>
  <si>
    <t>КОСТИН СЕРГЕЙ АНАТОЛЬЕВИЧ</t>
  </si>
  <si>
    <t xml:space="preserve">Заместитель главного врача по поликлинике (взрослой) </t>
  </si>
  <si>
    <t>ЛИМАРЕВА ЛЮДМИЛА НИКОЛАЕВНА</t>
  </si>
  <si>
    <t>ФРОЛОВА ТАТЬЯНА ГЕННАДЬЕВНА</t>
  </si>
  <si>
    <t>Заместитель главного врача по экспертизе временной нетрудоспособности /Общеучрежденческий медицинский персонал (Воронеж, пер. Ботанический, 47)/</t>
  </si>
  <si>
    <t>КАЛИНИНА ЛЮДМИЛА БОРИСОВНА</t>
  </si>
  <si>
    <t>ГОЛОВИНА ОЛЬГА СЕРГЕЕВНА</t>
  </si>
  <si>
    <t>СЕМЫНИНА ИННА ЮРЬЕВНА</t>
  </si>
  <si>
    <t>БИТКОВА ЕЛЕНА ЛЕОНИДОВНА</t>
  </si>
  <si>
    <t>Заместитель главного врача по кадрово-правовой работе</t>
  </si>
  <si>
    <t>ТОЛСТЕНКО МИХАИЛ ЮРЬЕВИЧ</t>
  </si>
  <si>
    <t>АВДЕЕВА АННА СЕРГЕЕВНА</t>
  </si>
  <si>
    <t>БУЗ ВО "ВГКП №4"</t>
  </si>
  <si>
    <t>Бредихин Сергей Викторович</t>
  </si>
  <si>
    <t>Степанова Людмила Александровна</t>
  </si>
  <si>
    <t>Важенина Татьяна Николаевна</t>
  </si>
  <si>
    <t>Плавайко Елена Владимировна</t>
  </si>
  <si>
    <t>Заместитель главного врача по городской клинической поликлинике №4</t>
  </si>
  <si>
    <t>Кораблева Тамара Петровна</t>
  </si>
  <si>
    <t>Заместитель главного врача по детской поликлинике №11</t>
  </si>
  <si>
    <t>Барковская Лариса Николаевна</t>
  </si>
  <si>
    <t>Заместитель главного врача по медицинской профилактике и медицинской реабилитации</t>
  </si>
  <si>
    <t>Трошина Людмила Михайловна</t>
  </si>
  <si>
    <t>Заместитель главного врача по развитию первичной медико-санитарной и стационарозамещающей помощи</t>
  </si>
  <si>
    <t>Вульф Татьяна Алексеевна</t>
  </si>
  <si>
    <t>Сидоров Артем Олегович</t>
  </si>
  <si>
    <t>Заместитель главного врача по поликлинике (Московский проспект д.142У)</t>
  </si>
  <si>
    <t>работает с 20.10.22</t>
  </si>
  <si>
    <t>Проскурякова Людмила Александровна</t>
  </si>
  <si>
    <t>Глазьева Ольга Анатольевна</t>
  </si>
  <si>
    <t>Заместитель главного врача по управлению персоналом</t>
  </si>
  <si>
    <t>Дорошина Наталья Викторовна</t>
  </si>
  <si>
    <t>Бредихин С.В.</t>
  </si>
  <si>
    <t>Дорошина Н.В.</t>
  </si>
  <si>
    <t>Заместитель главного врача  по хозяйственным вопросам</t>
  </si>
  <si>
    <t xml:space="preserve">Соотношение заработной платы руководящего состава и работников  </t>
  </si>
  <si>
    <t>Соотношение заработной платы главного врача и замов</t>
  </si>
  <si>
    <t>Пышнограева Людмила Васильевна</t>
  </si>
  <si>
    <t>Курдюкова Елена Николаевна</t>
  </si>
  <si>
    <t>Чурикова Елена Александровна</t>
  </si>
  <si>
    <t>Авдеева Ирина Владимировна</t>
  </si>
  <si>
    <t>Некрылов Дмитрий Валерьевич</t>
  </si>
  <si>
    <t>Левшина Наталья Александровна</t>
  </si>
  <si>
    <t>Панкова Татьяна Михайловна</t>
  </si>
  <si>
    <t>Вандышев Игорь Валериевич</t>
  </si>
  <si>
    <t>Житникова Татьяна Александровна</t>
  </si>
  <si>
    <t>Заместитель главного врача по профилактике</t>
  </si>
  <si>
    <t xml:space="preserve">Заместитель главного врача по организационно-методической работе </t>
  </si>
  <si>
    <t>Заместитель главного врача по клинико-экспертной работе по взрослому населению</t>
  </si>
  <si>
    <t>Заместитель главного врача по мобилизационной работе и гражданской обороне</t>
  </si>
  <si>
    <t>Попова Оксана Ивановна</t>
  </si>
  <si>
    <t>Рожков Сергей Анатольевич</t>
  </si>
  <si>
    <t>Апарина Елена Александровна</t>
  </si>
  <si>
    <t>Каршков Константин Михайлович</t>
  </si>
  <si>
    <t>Бавыкина Татьяна Борисовна</t>
  </si>
  <si>
    <t>Щербаков Сергей Викторович</t>
  </si>
  <si>
    <t>Попов Геннадий Михайлович</t>
  </si>
  <si>
    <t>Ряузова Наталья Петровна</t>
  </si>
  <si>
    <t>Гончарова Лариса Яковлевна</t>
  </si>
  <si>
    <t>Савенок Евгения Нельсоновна</t>
  </si>
  <si>
    <t>Телкова Нина Ивановна (до 07.10.2022) Частухин Игорь Вячеславович (с 10.10.2022)</t>
  </si>
  <si>
    <t>Рыжиков Юрий Сергеевич</t>
  </si>
  <si>
    <t>Вуколова Вера Александровна</t>
  </si>
  <si>
    <t>Жихарев Владимир Иванович</t>
  </si>
  <si>
    <t>Лепендина Татьяня Анатольевна</t>
  </si>
  <si>
    <t>Давыдова Анжелика Альбертовна</t>
  </si>
  <si>
    <t>Заместитель главного врача по обслуживанию детского населения</t>
  </si>
  <si>
    <t>Заместитель главного врача по обслуживанию взрослого  населения</t>
  </si>
  <si>
    <t>Богатищев Олег Анатольевич</t>
  </si>
  <si>
    <t>Дорохина Антонина Ивановна</t>
  </si>
  <si>
    <t>Мерзликин Михаил Петрович</t>
  </si>
  <si>
    <t>Лихачева Елена Юльевна</t>
  </si>
  <si>
    <t>Заместитель главного врача по амбулаторно-поликлинической помощи</t>
  </si>
  <si>
    <t>Прохорова Анна Александровна</t>
  </si>
  <si>
    <t>Добрина Светлана Ивановна</t>
  </si>
  <si>
    <t>Соколаева Жанна Александровна</t>
  </si>
  <si>
    <t>Петрова Татьяна Викторовна</t>
  </si>
  <si>
    <t>Главная медицинская сестра (исполнение обязанностей на время б/л)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</si>
</sst>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0" fontId="10" fillId="0" borderId="0"/>
    <xf numFmtId="0" fontId="8" fillId="0" borderId="0"/>
    <xf numFmtId="0" fontId="8" fillId="0" borderId="0"/>
  </cellStyleXfs>
  <cellXfs count="141">
    <xf numFmtId="0" fontId="0" fillId="0" borderId="0" xfId="0"/>
    <xf numFmtId="0" fontId="0" fillId="0" borderId="0" xfId="0"/>
    <xf numFmtId="0" fontId="3" fillId="0" borderId="0" xfId="0" applyFont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4" fontId="3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2" fontId="3" fillId="0" borderId="3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43" fontId="6" fillId="0" borderId="3" xfId="1" applyFont="1" applyBorder="1" applyAlignment="1">
      <alignment vertical="top" wrapText="1"/>
    </xf>
    <xf numFmtId="2" fontId="6" fillId="0" borderId="3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1" fontId="3" fillId="0" borderId="3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wrapText="1"/>
    </xf>
    <xf numFmtId="0" fontId="9" fillId="0" borderId="3" xfId="2" applyNumberFormat="1" applyFont="1" applyBorder="1" applyAlignment="1">
      <alignment horizontal="left" vertical="top" wrapText="1"/>
    </xf>
    <xf numFmtId="4" fontId="3" fillId="0" borderId="3" xfId="0" applyNumberFormat="1" applyFont="1" applyBorder="1" applyAlignment="1">
      <alignment horizontal="right" wrapText="1"/>
    </xf>
    <xf numFmtId="4" fontId="9" fillId="0" borderId="3" xfId="2" applyNumberFormat="1" applyFont="1" applyBorder="1" applyAlignment="1">
      <alignment vertical="top"/>
    </xf>
    <xf numFmtId="0" fontId="9" fillId="0" borderId="3" xfId="2" applyNumberFormat="1" applyFont="1" applyBorder="1" applyAlignment="1">
      <alignment vertical="top" wrapText="1"/>
    </xf>
    <xf numFmtId="43" fontId="9" fillId="0" borderId="3" xfId="1" applyFont="1" applyBorder="1" applyAlignment="1">
      <alignment horizontal="right" vertical="top"/>
    </xf>
    <xf numFmtId="4" fontId="9" fillId="0" borderId="6" xfId="2" applyNumberFormat="1" applyFont="1" applyBorder="1" applyAlignment="1">
      <alignment horizontal="right" vertical="top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3" xfId="0" applyNumberFormat="1" applyFont="1" applyBorder="1" applyAlignment="1">
      <alignment vertical="top" wrapText="1"/>
    </xf>
    <xf numFmtId="0" fontId="0" fillId="0" borderId="0" xfId="0"/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wrapText="1"/>
    </xf>
    <xf numFmtId="4" fontId="3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2" fontId="3" fillId="0" borderId="3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65" fontId="3" fillId="0" borderId="0" xfId="3" applyNumberFormat="1" applyFont="1" applyAlignment="1">
      <alignment wrapText="1"/>
    </xf>
    <xf numFmtId="165" fontId="0" fillId="0" borderId="0" xfId="3" applyNumberFormat="1" applyFont="1"/>
    <xf numFmtId="0" fontId="3" fillId="0" borderId="0" xfId="0" applyFont="1" applyFill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4" fontId="3" fillId="0" borderId="3" xfId="0" applyNumberFormat="1" applyFont="1" applyFill="1" applyBorder="1" applyAlignment="1">
      <alignment wrapText="1"/>
    </xf>
    <xf numFmtId="4" fontId="3" fillId="0" borderId="0" xfId="0" applyNumberFormat="1" applyFont="1" applyFill="1" applyAlignment="1">
      <alignment wrapText="1"/>
    </xf>
    <xf numFmtId="0" fontId="3" fillId="0" borderId="1" xfId="0" applyFont="1" applyFill="1" applyBorder="1" applyAlignment="1">
      <alignment wrapText="1"/>
    </xf>
    <xf numFmtId="0" fontId="0" fillId="0" borderId="0" xfId="0" applyFill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2" fontId="0" fillId="0" borderId="3" xfId="0" applyNumberFormat="1" applyBorder="1" applyAlignment="1">
      <alignment horizontal="center"/>
    </xf>
    <xf numFmtId="4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wrapText="1"/>
    </xf>
    <xf numFmtId="0" fontId="3" fillId="0" borderId="0" xfId="0" applyFont="1" applyFill="1"/>
    <xf numFmtId="4" fontId="3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wrapText="1"/>
    </xf>
    <xf numFmtId="1" fontId="3" fillId="0" borderId="0" xfId="0" applyNumberFormat="1" applyFont="1" applyFill="1"/>
    <xf numFmtId="0" fontId="6" fillId="0" borderId="0" xfId="4" applyFont="1" applyFill="1" applyAlignment="1">
      <alignment horizontal="left" vertical="top"/>
    </xf>
    <xf numFmtId="0" fontId="3" fillId="0" borderId="3" xfId="0" applyFont="1" applyFill="1" applyBorder="1" applyAlignment="1">
      <alignment wrapText="1"/>
    </xf>
    <xf numFmtId="4" fontId="3" fillId="0" borderId="3" xfId="0" applyNumberFormat="1" applyFont="1" applyFill="1" applyBorder="1" applyAlignment="1">
      <alignment horizontal="center" wrapText="1"/>
    </xf>
    <xf numFmtId="4" fontId="3" fillId="0" borderId="0" xfId="0" applyNumberFormat="1" applyFont="1" applyFill="1"/>
    <xf numFmtId="0" fontId="6" fillId="0" borderId="0" xfId="5" applyFont="1" applyFill="1"/>
    <xf numFmtId="0" fontId="6" fillId="0" borderId="0" xfId="6" applyFont="1" applyFill="1"/>
    <xf numFmtId="4" fontId="3" fillId="0" borderId="0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wrapText="1"/>
    </xf>
    <xf numFmtId="0" fontId="3" fillId="0" borderId="0" xfId="0" applyFont="1" applyFill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4"/>
    <cellStyle name="Обычный_зам кадрБиткова" xfId="5"/>
    <cellStyle name="Обычный_зам по хоз Толстенко" xfId="6"/>
    <cellStyle name="Обычный_Лист1" xfId="2"/>
    <cellStyle name="Процентный" xfId="3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A3" sqref="A3:H3"/>
    </sheetView>
  </sheetViews>
  <sheetFormatPr defaultRowHeight="15" x14ac:dyDescent="0.25"/>
  <cols>
    <col min="1" max="1" width="9.42578125" customWidth="1"/>
    <col min="2" max="2" width="29.140625" customWidth="1"/>
    <col min="3" max="3" width="32.85546875" customWidth="1"/>
    <col min="4" max="4" width="15.140625" customWidth="1"/>
    <col min="5" max="5" width="21" customWidth="1"/>
    <col min="6" max="6" width="23" customWidth="1"/>
    <col min="7" max="7" width="18.85546875" customWidth="1"/>
    <col min="8" max="8" width="21.28515625" customWidth="1"/>
  </cols>
  <sheetData>
    <row r="1" spans="1:10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2"/>
      <c r="J1" s="2"/>
    </row>
    <row r="2" spans="1:10" x14ac:dyDescent="0.25">
      <c r="A2" s="2"/>
      <c r="B2" s="2"/>
      <c r="C2" s="2"/>
      <c r="D2" s="2"/>
      <c r="E2" s="13" t="s">
        <v>1</v>
      </c>
      <c r="F2" s="2"/>
      <c r="G2" s="2"/>
      <c r="H2" s="2"/>
      <c r="I2" s="2"/>
      <c r="J2" s="2"/>
    </row>
    <row r="3" spans="1:10" x14ac:dyDescent="0.25">
      <c r="A3" s="110" t="s">
        <v>2</v>
      </c>
      <c r="B3" s="110"/>
      <c r="C3" s="110"/>
      <c r="D3" s="110"/>
      <c r="E3" s="110"/>
      <c r="F3" s="110"/>
      <c r="G3" s="110"/>
      <c r="H3" s="110"/>
      <c r="I3" s="2"/>
      <c r="J3" s="2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2"/>
      <c r="J6" s="2"/>
    </row>
    <row r="7" spans="1:10" ht="85.5" x14ac:dyDescent="0.25">
      <c r="A7" s="112"/>
      <c r="B7" s="113"/>
      <c r="C7" s="113"/>
      <c r="D7" s="113"/>
      <c r="E7" s="113"/>
      <c r="F7" s="3" t="s">
        <v>11</v>
      </c>
      <c r="G7" s="3" t="s">
        <v>12</v>
      </c>
      <c r="H7" s="113"/>
      <c r="I7" s="2"/>
      <c r="J7" s="2"/>
    </row>
    <row r="8" spans="1:10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2"/>
      <c r="J8" s="2"/>
    </row>
    <row r="9" spans="1:10" ht="31.5" x14ac:dyDescent="0.25">
      <c r="A9" s="4">
        <v>1</v>
      </c>
      <c r="B9" s="14" t="s">
        <v>13</v>
      </c>
      <c r="C9" s="14" t="s">
        <v>14</v>
      </c>
      <c r="D9" s="5">
        <v>179956.92916666667</v>
      </c>
      <c r="E9" s="5">
        <v>2159483.15</v>
      </c>
      <c r="F9" s="5">
        <v>1870977.75</v>
      </c>
      <c r="G9" s="5">
        <v>288505.39999999997</v>
      </c>
      <c r="H9" s="7">
        <v>3.7470794529326699</v>
      </c>
      <c r="I9" s="2"/>
      <c r="J9" s="2"/>
    </row>
    <row r="10" spans="1:10" ht="31.5" x14ac:dyDescent="0.25">
      <c r="A10" s="4">
        <v>2</v>
      </c>
      <c r="B10" s="14" t="s">
        <v>15</v>
      </c>
      <c r="C10" s="14" t="s">
        <v>16</v>
      </c>
      <c r="D10" s="5">
        <v>125465.46666666666</v>
      </c>
      <c r="E10" s="5">
        <v>1505585.5999999999</v>
      </c>
      <c r="F10" s="5">
        <v>1377967.5799999998</v>
      </c>
      <c r="G10" s="5">
        <v>127618.02</v>
      </c>
      <c r="H10" s="7">
        <v>2.6124532929980515</v>
      </c>
      <c r="I10" s="2"/>
      <c r="J10" s="2"/>
    </row>
    <row r="11" spans="1:10" ht="47.25" x14ac:dyDescent="0.25">
      <c r="A11" s="4">
        <v>3</v>
      </c>
      <c r="B11" s="15" t="s">
        <v>17</v>
      </c>
      <c r="C11" s="15" t="s">
        <v>18</v>
      </c>
      <c r="D11" s="5">
        <v>127403.07250000001</v>
      </c>
      <c r="E11" s="5">
        <v>1528836.87</v>
      </c>
      <c r="F11" s="5">
        <v>1367443.79</v>
      </c>
      <c r="G11" s="5">
        <v>161393.08000000002</v>
      </c>
      <c r="H11" s="7">
        <v>2.6527982968808512</v>
      </c>
      <c r="I11" s="2"/>
      <c r="J11" s="2"/>
    </row>
    <row r="12" spans="1:10" ht="31.5" x14ac:dyDescent="0.25">
      <c r="A12" s="4">
        <v>4</v>
      </c>
      <c r="B12" s="14" t="s">
        <v>19</v>
      </c>
      <c r="C12" s="14" t="s">
        <v>20</v>
      </c>
      <c r="D12" s="5">
        <v>100396.12083333331</v>
      </c>
      <c r="E12" s="5">
        <v>1204753.4499999997</v>
      </c>
      <c r="F12" s="5">
        <v>1092887.0899999999</v>
      </c>
      <c r="G12" s="5">
        <v>111866.35999999987</v>
      </c>
      <c r="H12" s="7">
        <v>2.0904571069909692</v>
      </c>
      <c r="I12" s="2"/>
      <c r="J12" s="2"/>
    </row>
    <row r="13" spans="1:10" ht="47.25" x14ac:dyDescent="0.25">
      <c r="A13" s="4">
        <v>5</v>
      </c>
      <c r="B13" s="14" t="s">
        <v>21</v>
      </c>
      <c r="C13" s="14" t="s">
        <v>22</v>
      </c>
      <c r="D13" s="5">
        <v>47194.37</v>
      </c>
      <c r="E13" s="5">
        <v>47194.37</v>
      </c>
      <c r="F13" s="5">
        <v>47194.37</v>
      </c>
      <c r="G13" s="5"/>
      <c r="H13" s="7">
        <v>0.98268544001059888</v>
      </c>
      <c r="I13" s="2" t="s">
        <v>23</v>
      </c>
      <c r="J13" s="2"/>
    </row>
    <row r="14" spans="1:10" ht="47.25" x14ac:dyDescent="0.25">
      <c r="A14" s="4">
        <v>6</v>
      </c>
      <c r="B14" s="14" t="s">
        <v>24</v>
      </c>
      <c r="C14" s="14" t="s">
        <v>22</v>
      </c>
      <c r="D14" s="5">
        <v>109680.91416666667</v>
      </c>
      <c r="E14" s="5">
        <v>1316170.97</v>
      </c>
      <c r="F14" s="5">
        <v>1242881.8999999999</v>
      </c>
      <c r="G14" s="5">
        <v>73289.070000000007</v>
      </c>
      <c r="H14" s="7">
        <v>2.2837859134179683</v>
      </c>
      <c r="I14" s="2"/>
      <c r="J14" s="2"/>
    </row>
    <row r="15" spans="1:10" ht="31.5" x14ac:dyDescent="0.25">
      <c r="A15" s="4">
        <v>7</v>
      </c>
      <c r="B15" s="14" t="s">
        <v>25</v>
      </c>
      <c r="C15" s="14" t="s">
        <v>26</v>
      </c>
      <c r="D15" s="5">
        <v>113683.11666666668</v>
      </c>
      <c r="E15" s="5">
        <v>1364197.4000000001</v>
      </c>
      <c r="F15" s="5">
        <v>1287574.1100000001</v>
      </c>
      <c r="G15" s="5">
        <v>76623.289999999994</v>
      </c>
      <c r="H15" s="7">
        <v>2.3671201357992402</v>
      </c>
      <c r="I15" s="2"/>
      <c r="J15" s="2"/>
    </row>
    <row r="16" spans="1:10" ht="75" x14ac:dyDescent="0.25">
      <c r="A16" s="4">
        <v>8</v>
      </c>
      <c r="B16" s="5" t="s">
        <v>27</v>
      </c>
      <c r="C16" s="6" t="s">
        <v>28</v>
      </c>
      <c r="D16" s="5">
        <v>110749.69666666667</v>
      </c>
      <c r="E16" s="5">
        <v>332249.09000000003</v>
      </c>
      <c r="F16" s="5">
        <v>332249.09000000003</v>
      </c>
      <c r="G16" s="5">
        <v>0</v>
      </c>
      <c r="H16" s="7">
        <v>2.3060401992848658</v>
      </c>
      <c r="I16" s="2" t="s">
        <v>29</v>
      </c>
      <c r="J16" s="2"/>
    </row>
    <row r="17" spans="1:10" x14ac:dyDescent="0.25">
      <c r="A17" s="4">
        <v>9</v>
      </c>
      <c r="B17" s="105" t="s">
        <v>30</v>
      </c>
      <c r="C17" s="106"/>
      <c r="D17" s="5">
        <v>48025.917631883283</v>
      </c>
      <c r="E17" s="5">
        <v>431887472.07999998</v>
      </c>
      <c r="F17" s="5">
        <v>383173922.15999997</v>
      </c>
      <c r="G17" s="5">
        <v>48713549.919999994</v>
      </c>
      <c r="H17" s="4"/>
      <c r="I17" s="2"/>
      <c r="J17" s="2"/>
    </row>
    <row r="18" spans="1:10" x14ac:dyDescent="0.25">
      <c r="A18" s="2"/>
      <c r="B18" s="2"/>
      <c r="C18" s="2"/>
      <c r="D18" s="2"/>
      <c r="E18" s="8"/>
      <c r="F18" s="8"/>
      <c r="G18" s="8"/>
      <c r="H18" s="2"/>
      <c r="I18" s="2"/>
      <c r="J18" s="2"/>
    </row>
    <row r="19" spans="1:10" x14ac:dyDescent="0.25">
      <c r="A19" s="107" t="s">
        <v>31</v>
      </c>
      <c r="B19" s="107"/>
      <c r="C19" s="107"/>
      <c r="D19" s="107"/>
      <c r="E19" s="107"/>
      <c r="F19" s="107"/>
      <c r="G19" s="107"/>
      <c r="H19" s="107"/>
      <c r="I19" s="107"/>
      <c r="J19" s="107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 t="s">
        <v>14</v>
      </c>
      <c r="C23" s="9"/>
      <c r="D23" s="10"/>
      <c r="E23" s="11" t="s">
        <v>32</v>
      </c>
      <c r="F23" s="9"/>
      <c r="G23" s="2"/>
      <c r="H23" s="2"/>
      <c r="I23" s="2"/>
      <c r="J23" s="2"/>
    </row>
    <row r="24" spans="1:10" x14ac:dyDescent="0.25">
      <c r="A24" s="2"/>
      <c r="B24" s="2"/>
      <c r="C24" s="12" t="s">
        <v>33</v>
      </c>
      <c r="D24" s="2"/>
      <c r="E24" s="108" t="s">
        <v>34</v>
      </c>
      <c r="F24" s="108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 t="s">
        <v>28</v>
      </c>
      <c r="C26" s="9"/>
      <c r="D26" s="10"/>
      <c r="E26" s="11" t="s">
        <v>35</v>
      </c>
      <c r="F26" s="9"/>
      <c r="G26" s="2"/>
      <c r="H26" s="2"/>
      <c r="I26" s="2"/>
      <c r="J26" s="2"/>
    </row>
    <row r="27" spans="1:10" x14ac:dyDescent="0.25">
      <c r="A27" s="2"/>
      <c r="B27" s="2"/>
      <c r="C27" s="12" t="s">
        <v>33</v>
      </c>
      <c r="D27" s="2"/>
      <c r="E27" s="108" t="s">
        <v>34</v>
      </c>
      <c r="F27" s="108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</sheetData>
  <mergeCells count="14">
    <mergeCell ref="B17:C17"/>
    <mergeCell ref="A19:J19"/>
    <mergeCell ref="E24:F24"/>
    <mergeCell ref="E27:F27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H26" sqref="H26"/>
    </sheetView>
  </sheetViews>
  <sheetFormatPr defaultRowHeight="15" x14ac:dyDescent="0.25"/>
  <cols>
    <col min="1" max="1" width="9.140625" style="1"/>
    <col min="2" max="2" width="33.5703125" style="1" customWidth="1"/>
    <col min="3" max="3" width="30.28515625" style="1" customWidth="1"/>
    <col min="4" max="4" width="23.42578125" style="1" customWidth="1"/>
    <col min="5" max="5" width="31.28515625" style="1" customWidth="1"/>
    <col min="6" max="6" width="25.28515625" style="1" customWidth="1"/>
    <col min="7" max="7" width="22.5703125" style="1" customWidth="1"/>
    <col min="8" max="8" width="30.5703125" style="1" customWidth="1"/>
    <col min="9" max="16384" width="9.140625" style="1"/>
  </cols>
  <sheetData>
    <row r="1" spans="1:10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2"/>
      <c r="J1" s="2"/>
    </row>
    <row r="2" spans="1:10" x14ac:dyDescent="0.25">
      <c r="A2" s="2"/>
      <c r="B2" s="2"/>
      <c r="C2" s="2"/>
      <c r="D2" s="2"/>
      <c r="E2" s="13" t="s">
        <v>1</v>
      </c>
      <c r="F2" s="2"/>
      <c r="G2" s="2"/>
      <c r="H2" s="2"/>
      <c r="I2" s="2"/>
      <c r="J2" s="2"/>
    </row>
    <row r="3" spans="1:10" x14ac:dyDescent="0.25">
      <c r="A3" s="110" t="s">
        <v>96</v>
      </c>
      <c r="B3" s="110"/>
      <c r="C3" s="110"/>
      <c r="D3" s="110"/>
      <c r="E3" s="110"/>
      <c r="F3" s="110"/>
      <c r="G3" s="110"/>
      <c r="H3" s="110"/>
      <c r="I3" s="2"/>
      <c r="J3" s="2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2"/>
      <c r="J6" s="2"/>
    </row>
    <row r="7" spans="1:10" ht="57" x14ac:dyDescent="0.25">
      <c r="A7" s="112"/>
      <c r="B7" s="113"/>
      <c r="C7" s="113"/>
      <c r="D7" s="113"/>
      <c r="E7" s="113"/>
      <c r="F7" s="28" t="s">
        <v>11</v>
      </c>
      <c r="G7" s="28" t="s">
        <v>12</v>
      </c>
      <c r="H7" s="113"/>
      <c r="I7" s="2"/>
      <c r="J7" s="2"/>
    </row>
    <row r="8" spans="1:10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2"/>
      <c r="J8" s="2"/>
    </row>
    <row r="9" spans="1:10" ht="30" x14ac:dyDescent="0.25">
      <c r="A9" s="4">
        <v>1</v>
      </c>
      <c r="B9" s="5" t="s">
        <v>97</v>
      </c>
      <c r="C9" s="6" t="s">
        <v>38</v>
      </c>
      <c r="D9" s="5">
        <f>F9/12</f>
        <v>86209.89</v>
      </c>
      <c r="E9" s="5">
        <v>1230113.1000000001</v>
      </c>
      <c r="F9" s="5">
        <f>E9-G9</f>
        <v>1034518.68</v>
      </c>
      <c r="G9" s="5">
        <v>195594.42</v>
      </c>
      <c r="H9" s="26">
        <f>D9/D12</f>
        <v>2.713641377087407</v>
      </c>
      <c r="I9" s="2"/>
      <c r="J9" s="2"/>
    </row>
    <row r="10" spans="1:10" x14ac:dyDescent="0.25">
      <c r="A10" s="4">
        <v>5</v>
      </c>
      <c r="B10" s="5" t="s">
        <v>98</v>
      </c>
      <c r="C10" s="6" t="s">
        <v>26</v>
      </c>
      <c r="D10" s="5">
        <v>45823.4</v>
      </c>
      <c r="E10" s="5">
        <v>600424.9</v>
      </c>
      <c r="F10" s="5">
        <f>E10-G10</f>
        <v>549880.91</v>
      </c>
      <c r="G10" s="5">
        <v>50543.99</v>
      </c>
      <c r="H10" s="26">
        <f>D10/D11</f>
        <v>0.98711517499780999</v>
      </c>
      <c r="I10" s="2"/>
      <c r="J10" s="2"/>
    </row>
    <row r="11" spans="1:10" x14ac:dyDescent="0.25">
      <c r="A11" s="4">
        <v>6</v>
      </c>
      <c r="B11" s="5" t="s">
        <v>99</v>
      </c>
      <c r="C11" s="6" t="s">
        <v>28</v>
      </c>
      <c r="D11" s="5">
        <f>F11/12</f>
        <v>46421.533333333333</v>
      </c>
      <c r="E11" s="5">
        <v>615000</v>
      </c>
      <c r="F11" s="5">
        <f>E11-G11</f>
        <v>557058.4</v>
      </c>
      <c r="G11" s="5">
        <v>57941.599999999999</v>
      </c>
      <c r="H11" s="26">
        <f>D11/D12</f>
        <v>1.4612174269237048</v>
      </c>
      <c r="I11" s="2"/>
      <c r="J11" s="2"/>
    </row>
    <row r="12" spans="1:10" x14ac:dyDescent="0.25">
      <c r="A12" s="6"/>
      <c r="B12" s="105" t="s">
        <v>30</v>
      </c>
      <c r="C12" s="106"/>
      <c r="D12" s="5">
        <v>31769.08</v>
      </c>
      <c r="E12" s="5">
        <v>23267000</v>
      </c>
      <c r="F12" s="5">
        <f>E12-G12</f>
        <v>21310699.800000001</v>
      </c>
      <c r="G12" s="5">
        <v>1956300.2</v>
      </c>
      <c r="H12" s="32"/>
      <c r="I12" s="2"/>
      <c r="J12" s="2"/>
    </row>
    <row r="13" spans="1:10" x14ac:dyDescent="0.25">
      <c r="A13" s="2"/>
      <c r="B13" s="2"/>
      <c r="C13" s="2"/>
      <c r="D13" s="2"/>
      <c r="E13" s="8"/>
      <c r="F13" s="8"/>
      <c r="G13" s="8"/>
      <c r="H13" s="2"/>
      <c r="I13" s="2"/>
      <c r="J13" s="2"/>
    </row>
    <row r="14" spans="1:10" x14ac:dyDescent="0.25">
      <c r="A14" s="107" t="s">
        <v>31</v>
      </c>
      <c r="B14" s="107"/>
      <c r="C14" s="107"/>
      <c r="D14" s="107"/>
      <c r="E14" s="107"/>
      <c r="F14" s="107"/>
      <c r="G14" s="107"/>
      <c r="H14" s="107"/>
      <c r="I14" s="107"/>
      <c r="J14" s="107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 t="s">
        <v>50</v>
      </c>
      <c r="C18" s="9"/>
      <c r="D18" s="10"/>
      <c r="E18" s="27" t="s">
        <v>100</v>
      </c>
      <c r="F18" s="9"/>
      <c r="G18" s="2"/>
      <c r="H18" s="2"/>
      <c r="I18" s="2"/>
      <c r="J18" s="2"/>
    </row>
    <row r="19" spans="1:10" x14ac:dyDescent="0.25">
      <c r="A19" s="2"/>
      <c r="B19" s="2"/>
      <c r="C19" s="12" t="s">
        <v>33</v>
      </c>
      <c r="D19" s="2"/>
      <c r="E19" s="108" t="s">
        <v>34</v>
      </c>
      <c r="F19" s="108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 t="s">
        <v>28</v>
      </c>
      <c r="C21" s="9"/>
      <c r="D21" s="10"/>
      <c r="E21" s="27" t="s">
        <v>101</v>
      </c>
      <c r="F21" s="9"/>
      <c r="G21" s="2"/>
      <c r="H21" s="2"/>
      <c r="I21" s="2"/>
      <c r="J21" s="2"/>
    </row>
    <row r="22" spans="1:10" x14ac:dyDescent="0.25">
      <c r="A22" s="2"/>
      <c r="B22" s="2"/>
      <c r="C22" s="12" t="s">
        <v>33</v>
      </c>
      <c r="D22" s="2"/>
      <c r="E22" s="108" t="s">
        <v>34</v>
      </c>
      <c r="F22" s="108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</sheetData>
  <mergeCells count="14">
    <mergeCell ref="B12:C12"/>
    <mergeCell ref="A14:J14"/>
    <mergeCell ref="E19:F19"/>
    <mergeCell ref="E22:F22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B10" sqref="B10"/>
    </sheetView>
  </sheetViews>
  <sheetFormatPr defaultRowHeight="15" x14ac:dyDescent="0.25"/>
  <cols>
    <col min="1" max="1" width="9.140625" style="52"/>
    <col min="2" max="2" width="33.5703125" style="52" customWidth="1"/>
    <col min="3" max="3" width="30.28515625" style="52" customWidth="1"/>
    <col min="4" max="4" width="23.42578125" style="52" customWidth="1"/>
    <col min="5" max="5" width="31.28515625" style="52" customWidth="1"/>
    <col min="6" max="6" width="25.28515625" style="52" customWidth="1"/>
    <col min="7" max="7" width="22.5703125" style="52" customWidth="1"/>
    <col min="8" max="8" width="30.5703125" style="52" customWidth="1"/>
    <col min="9" max="16384" width="9.140625" style="52"/>
  </cols>
  <sheetData>
    <row r="1" spans="1:10" ht="18.75" customHeight="1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53"/>
      <c r="J1" s="53"/>
    </row>
    <row r="2" spans="1:10" x14ac:dyDescent="0.25">
      <c r="A2" s="53"/>
      <c r="B2" s="53"/>
      <c r="C2" s="53"/>
      <c r="D2" s="53"/>
      <c r="E2" s="63" t="s">
        <v>1</v>
      </c>
      <c r="F2" s="53"/>
      <c r="G2" s="53"/>
      <c r="H2" s="53"/>
      <c r="I2" s="53"/>
      <c r="J2" s="53"/>
    </row>
    <row r="3" spans="1:10" ht="15" customHeight="1" x14ac:dyDescent="0.3">
      <c r="A3" s="120" t="s">
        <v>102</v>
      </c>
      <c r="B3" s="120"/>
      <c r="C3" s="120"/>
      <c r="D3" s="120"/>
      <c r="E3" s="120"/>
      <c r="F3" s="120"/>
      <c r="G3" s="120"/>
      <c r="H3" s="120"/>
      <c r="I3" s="53"/>
      <c r="J3" s="53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53"/>
      <c r="J4" s="53"/>
    </row>
    <row r="5" spans="1:10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53"/>
      <c r="J6" s="53"/>
    </row>
    <row r="7" spans="1:10" ht="57" x14ac:dyDescent="0.25">
      <c r="A7" s="112"/>
      <c r="B7" s="113"/>
      <c r="C7" s="113"/>
      <c r="D7" s="113"/>
      <c r="E7" s="113"/>
      <c r="F7" s="104" t="s">
        <v>11</v>
      </c>
      <c r="G7" s="104" t="s">
        <v>12</v>
      </c>
      <c r="H7" s="113"/>
      <c r="I7" s="53"/>
      <c r="J7" s="53"/>
    </row>
    <row r="8" spans="1:10" x14ac:dyDescent="0.25">
      <c r="A8" s="54">
        <v>1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3"/>
      <c r="J8" s="53"/>
    </row>
    <row r="9" spans="1:10" x14ac:dyDescent="0.25">
      <c r="A9" s="54">
        <v>1</v>
      </c>
      <c r="B9" s="55" t="s">
        <v>103</v>
      </c>
      <c r="C9" s="56" t="s">
        <v>14</v>
      </c>
      <c r="D9" s="55">
        <f>F9/12</f>
        <v>137346.94166666668</v>
      </c>
      <c r="E9" s="55">
        <f>F9+G9</f>
        <v>1807038.3</v>
      </c>
      <c r="F9" s="55">
        <v>1648163.3</v>
      </c>
      <c r="G9" s="55">
        <v>158875</v>
      </c>
      <c r="H9" s="57">
        <f>D9/D20</f>
        <v>3.0473868125978969</v>
      </c>
      <c r="I9" s="53"/>
      <c r="J9" s="53"/>
    </row>
    <row r="10" spans="1:10" ht="30" x14ac:dyDescent="0.25">
      <c r="A10" s="54">
        <v>2</v>
      </c>
      <c r="B10" s="55" t="s">
        <v>104</v>
      </c>
      <c r="C10" s="56" t="s">
        <v>339</v>
      </c>
      <c r="D10" s="55">
        <f t="shared" ref="D10:D19" si="0">F10/12</f>
        <v>105912.78000000001</v>
      </c>
      <c r="E10" s="55">
        <f t="shared" ref="E10:E20" si="1">F10+G10</f>
        <v>1270953.3600000001</v>
      </c>
      <c r="F10" s="55">
        <v>1270953.3600000001</v>
      </c>
      <c r="G10" s="55">
        <v>0</v>
      </c>
      <c r="H10" s="57">
        <f>D10/D20</f>
        <v>2.3499409971639262</v>
      </c>
      <c r="I10" s="53"/>
      <c r="J10" s="53"/>
    </row>
    <row r="11" spans="1:10" ht="30" x14ac:dyDescent="0.25">
      <c r="A11" s="54">
        <v>3</v>
      </c>
      <c r="B11" s="55" t="s">
        <v>105</v>
      </c>
      <c r="C11" s="56" t="s">
        <v>292</v>
      </c>
      <c r="D11" s="55">
        <f t="shared" si="0"/>
        <v>95645.217500000013</v>
      </c>
      <c r="E11" s="55">
        <f t="shared" si="1"/>
        <v>1147742.6100000001</v>
      </c>
      <c r="F11" s="55">
        <v>1147742.6100000001</v>
      </c>
      <c r="G11" s="55">
        <v>0</v>
      </c>
      <c r="H11" s="57">
        <f>D11/D20</f>
        <v>2.1221293387437341</v>
      </c>
      <c r="I11" s="53"/>
      <c r="J11" s="53"/>
    </row>
    <row r="12" spans="1:10" ht="45" x14ac:dyDescent="0.25">
      <c r="A12" s="54">
        <v>4</v>
      </c>
      <c r="B12" s="55" t="s">
        <v>106</v>
      </c>
      <c r="C12" s="56" t="s">
        <v>340</v>
      </c>
      <c r="D12" s="55">
        <f>F12/1.5</f>
        <v>106049.73999999999</v>
      </c>
      <c r="E12" s="55">
        <f t="shared" si="1"/>
        <v>272225.44</v>
      </c>
      <c r="F12" s="55">
        <v>159074.60999999999</v>
      </c>
      <c r="G12" s="55">
        <v>113150.83</v>
      </c>
      <c r="H12" s="57">
        <f>D12/D20</f>
        <v>2.3529797987039434</v>
      </c>
      <c r="I12" s="53"/>
      <c r="J12" s="53"/>
    </row>
    <row r="13" spans="1:10" ht="45" x14ac:dyDescent="0.25">
      <c r="A13" s="54">
        <v>5</v>
      </c>
      <c r="B13" s="55" t="s">
        <v>107</v>
      </c>
      <c r="C13" s="56" t="s">
        <v>341</v>
      </c>
      <c r="D13" s="55">
        <f t="shared" si="0"/>
        <v>112247.625</v>
      </c>
      <c r="E13" s="55">
        <f t="shared" si="1"/>
        <v>1346971.5</v>
      </c>
      <c r="F13" s="55">
        <v>1346971.5</v>
      </c>
      <c r="G13" s="55">
        <v>0</v>
      </c>
      <c r="H13" s="57">
        <f>D13/D20</f>
        <v>2.4904954418322549</v>
      </c>
      <c r="I13" s="53"/>
      <c r="J13" s="53"/>
    </row>
    <row r="14" spans="1:10" ht="30" x14ac:dyDescent="0.25">
      <c r="A14" s="54">
        <v>6</v>
      </c>
      <c r="B14" s="55" t="s">
        <v>108</v>
      </c>
      <c r="C14" s="56" t="s">
        <v>16</v>
      </c>
      <c r="D14" s="55">
        <f t="shared" si="0"/>
        <v>125271.41249999999</v>
      </c>
      <c r="E14" s="55">
        <f t="shared" si="1"/>
        <v>1565697.5999999999</v>
      </c>
      <c r="F14" s="55">
        <v>1503256.95</v>
      </c>
      <c r="G14" s="55">
        <v>62440.65</v>
      </c>
      <c r="H14" s="57">
        <f>D14/D20</f>
        <v>2.7794608734317374</v>
      </c>
      <c r="I14" s="53"/>
      <c r="J14" s="53"/>
    </row>
    <row r="15" spans="1:10" ht="45" x14ac:dyDescent="0.25">
      <c r="A15" s="54">
        <v>7</v>
      </c>
      <c r="B15" s="55" t="s">
        <v>109</v>
      </c>
      <c r="C15" s="56" t="s">
        <v>342</v>
      </c>
      <c r="D15" s="55">
        <f>F15/4</f>
        <v>86990.612500000003</v>
      </c>
      <c r="E15" s="55">
        <f t="shared" si="1"/>
        <v>389910.55</v>
      </c>
      <c r="F15" s="55">
        <v>347962.45</v>
      </c>
      <c r="G15" s="55">
        <v>41948.1</v>
      </c>
      <c r="H15" s="57">
        <f>D15/D20</f>
        <v>1.9301051929913526</v>
      </c>
      <c r="I15" s="53"/>
      <c r="J15" s="53"/>
    </row>
    <row r="16" spans="1:10" ht="45" x14ac:dyDescent="0.25">
      <c r="A16" s="54">
        <v>8</v>
      </c>
      <c r="B16" s="55" t="s">
        <v>110</v>
      </c>
      <c r="C16" s="56" t="s">
        <v>340</v>
      </c>
      <c r="D16" s="55">
        <f>F16/10</f>
        <v>104020.874</v>
      </c>
      <c r="E16" s="55">
        <f t="shared" si="1"/>
        <v>1040208.74</v>
      </c>
      <c r="F16" s="55">
        <v>1040208.74</v>
      </c>
      <c r="G16" s="55">
        <v>0</v>
      </c>
      <c r="H16" s="57">
        <f>D16/D20</f>
        <v>2.3079643115157875</v>
      </c>
      <c r="I16" s="53"/>
      <c r="J16" s="53"/>
    </row>
    <row r="17" spans="1:10" x14ac:dyDescent="0.25">
      <c r="A17" s="54">
        <v>9</v>
      </c>
      <c r="B17" s="55" t="s">
        <v>111</v>
      </c>
      <c r="C17" s="56" t="s">
        <v>26</v>
      </c>
      <c r="D17" s="55">
        <f t="shared" si="0"/>
        <v>102985.79666666668</v>
      </c>
      <c r="E17" s="55">
        <f t="shared" si="1"/>
        <v>1260182.26</v>
      </c>
      <c r="F17" s="55">
        <v>1235829.56</v>
      </c>
      <c r="G17" s="55">
        <v>24352.7</v>
      </c>
      <c r="H17" s="57">
        <f>D17/D20</f>
        <v>2.2849985215437458</v>
      </c>
      <c r="I17" s="53"/>
      <c r="J17" s="53"/>
    </row>
    <row r="18" spans="1:10" ht="30" x14ac:dyDescent="0.25">
      <c r="A18" s="54">
        <v>10</v>
      </c>
      <c r="B18" s="55" t="s">
        <v>112</v>
      </c>
      <c r="C18" s="56" t="s">
        <v>47</v>
      </c>
      <c r="D18" s="55">
        <f t="shared" si="0"/>
        <v>120612.23333333334</v>
      </c>
      <c r="E18" s="55">
        <f t="shared" si="1"/>
        <v>1549026.8</v>
      </c>
      <c r="F18" s="55">
        <v>1447346.8</v>
      </c>
      <c r="G18" s="55">
        <v>101680</v>
      </c>
      <c r="H18" s="57">
        <f>D18/D20</f>
        <v>2.6760852832821636</v>
      </c>
      <c r="I18" s="53"/>
      <c r="J18" s="53"/>
    </row>
    <row r="19" spans="1:10" x14ac:dyDescent="0.25">
      <c r="A19" s="54">
        <v>11</v>
      </c>
      <c r="B19" s="55" t="s">
        <v>343</v>
      </c>
      <c r="C19" s="56" t="s">
        <v>28</v>
      </c>
      <c r="D19" s="55">
        <f t="shared" si="0"/>
        <v>120039.84833333333</v>
      </c>
      <c r="E19" s="55">
        <f t="shared" si="1"/>
        <v>1542158.18</v>
      </c>
      <c r="F19" s="55">
        <v>1440478.18</v>
      </c>
      <c r="G19" s="55">
        <v>101680</v>
      </c>
      <c r="H19" s="57">
        <f>D19/D20</f>
        <v>2.6633854846586007</v>
      </c>
      <c r="I19" s="53"/>
      <c r="J19" s="53"/>
    </row>
    <row r="20" spans="1:10" x14ac:dyDescent="0.25">
      <c r="A20" s="56"/>
      <c r="B20" s="105" t="s">
        <v>30</v>
      </c>
      <c r="C20" s="106"/>
      <c r="D20" s="55">
        <f>F20/12/605</f>
        <v>45070.399694214873</v>
      </c>
      <c r="E20" s="55">
        <f t="shared" si="1"/>
        <v>327682538.76999998</v>
      </c>
      <c r="F20" s="55">
        <v>327211101.77999997</v>
      </c>
      <c r="G20" s="55">
        <v>471436.99</v>
      </c>
      <c r="H20" s="57"/>
      <c r="I20" s="53"/>
      <c r="J20" s="53"/>
    </row>
    <row r="21" spans="1:10" x14ac:dyDescent="0.25">
      <c r="A21" s="53"/>
      <c r="B21" s="53"/>
      <c r="C21" s="53"/>
      <c r="D21" s="53"/>
      <c r="E21" s="58"/>
      <c r="F21" s="58"/>
      <c r="G21" s="58"/>
      <c r="H21" s="53"/>
      <c r="I21" s="53"/>
      <c r="J21" s="53"/>
    </row>
    <row r="22" spans="1:10" x14ac:dyDescent="0.25">
      <c r="A22" s="107" t="s">
        <v>31</v>
      </c>
      <c r="B22" s="107"/>
      <c r="C22" s="107"/>
      <c r="D22" s="107"/>
      <c r="E22" s="107"/>
      <c r="F22" s="107"/>
      <c r="G22" s="107"/>
      <c r="H22" s="107"/>
      <c r="I22" s="107"/>
      <c r="J22" s="107"/>
    </row>
    <row r="23" spans="1:10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</row>
    <row r="24" spans="1:10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</row>
    <row r="25" spans="1:10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</row>
    <row r="26" spans="1:10" x14ac:dyDescent="0.25">
      <c r="A26" s="53"/>
      <c r="B26" s="53" t="s">
        <v>50</v>
      </c>
      <c r="C26" s="59"/>
      <c r="D26" s="60"/>
      <c r="E26" s="103"/>
      <c r="F26" s="59"/>
      <c r="G26" s="53"/>
      <c r="H26" s="53"/>
      <c r="I26" s="53"/>
      <c r="J26" s="53"/>
    </row>
    <row r="27" spans="1:10" x14ac:dyDescent="0.25">
      <c r="A27" s="53"/>
      <c r="B27" s="53"/>
      <c r="C27" s="62" t="s">
        <v>33</v>
      </c>
      <c r="D27" s="53"/>
      <c r="E27" s="108" t="s">
        <v>34</v>
      </c>
      <c r="F27" s="108"/>
      <c r="G27" s="53"/>
      <c r="H27" s="53"/>
      <c r="I27" s="53"/>
      <c r="J27" s="53"/>
    </row>
    <row r="28" spans="1:10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</row>
    <row r="29" spans="1:10" x14ac:dyDescent="0.25">
      <c r="A29" s="53"/>
      <c r="B29" s="53" t="s">
        <v>28</v>
      </c>
      <c r="C29" s="59"/>
      <c r="D29" s="60"/>
      <c r="E29" s="103"/>
      <c r="F29" s="59"/>
      <c r="G29" s="53"/>
      <c r="H29" s="53"/>
      <c r="I29" s="53"/>
      <c r="J29" s="53"/>
    </row>
    <row r="30" spans="1:10" x14ac:dyDescent="0.25">
      <c r="A30" s="53"/>
      <c r="B30" s="53"/>
      <c r="C30" s="62" t="s">
        <v>33</v>
      </c>
      <c r="D30" s="53"/>
      <c r="E30" s="108" t="s">
        <v>34</v>
      </c>
      <c r="F30" s="108"/>
      <c r="G30" s="53"/>
      <c r="H30" s="53"/>
      <c r="I30" s="53"/>
      <c r="J30" s="53"/>
    </row>
    <row r="31" spans="1:10" x14ac:dyDescent="0.25">
      <c r="A31" s="53"/>
      <c r="B31" s="53"/>
      <c r="C31" s="53"/>
      <c r="D31" s="53"/>
      <c r="E31" s="53"/>
      <c r="F31" s="53"/>
      <c r="G31" s="53"/>
      <c r="H31" s="53"/>
      <c r="I31" s="53"/>
      <c r="J31" s="53"/>
    </row>
  </sheetData>
  <mergeCells count="14">
    <mergeCell ref="B20:C20"/>
    <mergeCell ref="A22:J22"/>
    <mergeCell ref="E27:F27"/>
    <mergeCell ref="E30:F30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E23" sqref="E23:F23"/>
    </sheetView>
  </sheetViews>
  <sheetFormatPr defaultRowHeight="15" x14ac:dyDescent="0.25"/>
  <cols>
    <col min="1" max="1" width="9.140625" style="1"/>
    <col min="2" max="2" width="33.28515625" style="1" customWidth="1"/>
    <col min="3" max="3" width="30.28515625" style="1" customWidth="1"/>
    <col min="4" max="4" width="23.42578125" style="1" customWidth="1"/>
    <col min="5" max="5" width="24.28515625" style="1" customWidth="1"/>
    <col min="6" max="6" width="25.28515625" style="1" customWidth="1"/>
    <col min="7" max="7" width="22.5703125" style="1" customWidth="1"/>
    <col min="8" max="8" width="25.5703125" style="1" customWidth="1"/>
    <col min="9" max="16384" width="9.140625" style="1"/>
  </cols>
  <sheetData>
    <row r="1" spans="1:10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2"/>
      <c r="J1" s="2"/>
    </row>
    <row r="2" spans="1:10" x14ac:dyDescent="0.25">
      <c r="A2" s="2"/>
      <c r="B2" s="2"/>
      <c r="C2" s="2"/>
      <c r="D2" s="2"/>
      <c r="E2" s="13" t="s">
        <v>1</v>
      </c>
      <c r="F2" s="2"/>
      <c r="G2" s="2"/>
      <c r="H2" s="2"/>
      <c r="I2" s="2"/>
      <c r="J2" s="2"/>
    </row>
    <row r="3" spans="1:10" x14ac:dyDescent="0.25">
      <c r="A3" s="110" t="s">
        <v>113</v>
      </c>
      <c r="B3" s="110"/>
      <c r="C3" s="110"/>
      <c r="D3" s="110"/>
      <c r="E3" s="110"/>
      <c r="F3" s="110"/>
      <c r="G3" s="110"/>
      <c r="H3" s="110"/>
      <c r="I3" s="2"/>
      <c r="J3" s="2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2"/>
      <c r="J6" s="2"/>
    </row>
    <row r="7" spans="1:10" ht="57" x14ac:dyDescent="0.25">
      <c r="A7" s="112"/>
      <c r="B7" s="113"/>
      <c r="C7" s="113"/>
      <c r="D7" s="113"/>
      <c r="E7" s="113"/>
      <c r="F7" s="30" t="s">
        <v>11</v>
      </c>
      <c r="G7" s="30" t="s">
        <v>12</v>
      </c>
      <c r="H7" s="113"/>
      <c r="I7" s="2"/>
      <c r="J7" s="2"/>
    </row>
    <row r="8" spans="1:10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2"/>
      <c r="J8" s="2"/>
    </row>
    <row r="9" spans="1:10" x14ac:dyDescent="0.25">
      <c r="A9" s="4">
        <v>1</v>
      </c>
      <c r="B9" s="18" t="s">
        <v>114</v>
      </c>
      <c r="C9" s="19" t="s">
        <v>77</v>
      </c>
      <c r="D9" s="20">
        <f>F9/12</f>
        <v>81988.555833333332</v>
      </c>
      <c r="E9" s="20">
        <f t="shared" ref="E9:E11" si="0">F9+G9</f>
        <v>991021.13</v>
      </c>
      <c r="F9" s="20">
        <v>983862.67</v>
      </c>
      <c r="G9" s="20">
        <v>7158.46</v>
      </c>
      <c r="H9" s="20">
        <f>D9/$D$16</f>
        <v>2.5351257911281926</v>
      </c>
      <c r="I9" s="2"/>
      <c r="J9" s="2"/>
    </row>
    <row r="10" spans="1:10" ht="30" x14ac:dyDescent="0.25">
      <c r="A10" s="4">
        <v>2</v>
      </c>
      <c r="B10" s="18" t="s">
        <v>115</v>
      </c>
      <c r="C10" s="19" t="s">
        <v>16</v>
      </c>
      <c r="D10" s="20">
        <f>F10/12</f>
        <v>73313.104999999996</v>
      </c>
      <c r="E10" s="20">
        <f t="shared" si="0"/>
        <v>1000896.99</v>
      </c>
      <c r="F10" s="20">
        <v>879757.26</v>
      </c>
      <c r="G10" s="20">
        <v>121139.73</v>
      </c>
      <c r="H10" s="20">
        <f t="shared" ref="H10:H15" si="1">D10/$D$16</f>
        <v>2.2668766564324176</v>
      </c>
      <c r="I10" s="2"/>
      <c r="J10" s="2"/>
    </row>
    <row r="11" spans="1:10" ht="30" x14ac:dyDescent="0.25">
      <c r="A11" s="4">
        <v>3</v>
      </c>
      <c r="B11" s="18" t="s">
        <v>116</v>
      </c>
      <c r="C11" s="19" t="s">
        <v>117</v>
      </c>
      <c r="D11" s="20">
        <f>F11/12</f>
        <v>69079.020833333328</v>
      </c>
      <c r="E11" s="20">
        <f t="shared" si="0"/>
        <v>837797.84</v>
      </c>
      <c r="F11" s="20">
        <v>828948.25</v>
      </c>
      <c r="G11" s="20">
        <v>8849.59</v>
      </c>
      <c r="H11" s="20">
        <f t="shared" si="1"/>
        <v>2.1359567266492392</v>
      </c>
      <c r="I11" s="2"/>
      <c r="J11" s="2"/>
    </row>
    <row r="12" spans="1:10" ht="30" x14ac:dyDescent="0.25">
      <c r="A12" s="4">
        <v>4</v>
      </c>
      <c r="B12" s="18" t="s">
        <v>118</v>
      </c>
      <c r="C12" s="19" t="s">
        <v>119</v>
      </c>
      <c r="D12" s="20">
        <f>F12/6</f>
        <v>52108.868333333339</v>
      </c>
      <c r="E12" s="20">
        <f>F12+G12</f>
        <v>318393.72000000003</v>
      </c>
      <c r="F12" s="20">
        <v>312653.21000000002</v>
      </c>
      <c r="G12" s="20">
        <v>5740.51</v>
      </c>
      <c r="H12" s="20">
        <f t="shared" si="1"/>
        <v>1.6112314055985457</v>
      </c>
      <c r="I12" s="2"/>
      <c r="J12" s="2"/>
    </row>
    <row r="13" spans="1:10" ht="30" x14ac:dyDescent="0.25">
      <c r="A13" s="4">
        <v>5</v>
      </c>
      <c r="B13" s="18" t="s">
        <v>120</v>
      </c>
      <c r="C13" s="19" t="s">
        <v>47</v>
      </c>
      <c r="D13" s="20">
        <f>F13/12</f>
        <v>62091.1175</v>
      </c>
      <c r="E13" s="20">
        <f t="shared" ref="E13:E15" si="2">F13+G13</f>
        <v>995990.34000000008</v>
      </c>
      <c r="F13" s="20">
        <v>745093.41</v>
      </c>
      <c r="G13" s="20">
        <v>250896.93</v>
      </c>
      <c r="H13" s="20">
        <f t="shared" si="1"/>
        <v>1.9198873766504962</v>
      </c>
      <c r="I13" s="2"/>
      <c r="J13" s="2"/>
    </row>
    <row r="14" spans="1:10" x14ac:dyDescent="0.25">
      <c r="A14" s="4">
        <v>6</v>
      </c>
      <c r="B14" s="18" t="s">
        <v>121</v>
      </c>
      <c r="C14" s="19" t="s">
        <v>122</v>
      </c>
      <c r="D14" s="20">
        <f>F14/10</f>
        <v>56992.9</v>
      </c>
      <c r="E14" s="20">
        <f t="shared" si="2"/>
        <v>624358.21</v>
      </c>
      <c r="F14" s="20">
        <v>569929</v>
      </c>
      <c r="G14" s="20">
        <v>54429.21</v>
      </c>
      <c r="H14" s="20">
        <f t="shared" si="1"/>
        <v>1.7622480263574587</v>
      </c>
      <c r="I14" s="2"/>
      <c r="J14" s="2"/>
    </row>
    <row r="15" spans="1:10" x14ac:dyDescent="0.25">
      <c r="A15" s="4">
        <v>7</v>
      </c>
      <c r="B15" s="18" t="s">
        <v>123</v>
      </c>
      <c r="C15" s="19" t="s">
        <v>28</v>
      </c>
      <c r="D15" s="20">
        <f>F15/2</f>
        <v>42106.745000000003</v>
      </c>
      <c r="E15" s="20">
        <f t="shared" si="2"/>
        <v>96064.49</v>
      </c>
      <c r="F15" s="20">
        <v>84213.49</v>
      </c>
      <c r="G15" s="20">
        <v>11851</v>
      </c>
      <c r="H15" s="20">
        <f t="shared" si="1"/>
        <v>1.3019609157033034</v>
      </c>
      <c r="I15" s="2"/>
      <c r="J15" s="2"/>
    </row>
    <row r="16" spans="1:10" x14ac:dyDescent="0.25">
      <c r="A16" s="6"/>
      <c r="B16" s="105" t="s">
        <v>30</v>
      </c>
      <c r="C16" s="106"/>
      <c r="D16" s="20">
        <f>F16/12/126.1</f>
        <v>32341.020757335449</v>
      </c>
      <c r="E16" s="5">
        <v>53523400</v>
      </c>
      <c r="F16" s="5">
        <f>E16-G16</f>
        <v>48938432.609999999</v>
      </c>
      <c r="G16" s="5">
        <v>4584967.3899999997</v>
      </c>
      <c r="H16" s="35"/>
      <c r="I16" s="2"/>
      <c r="J16" s="2"/>
    </row>
    <row r="17" spans="1:10" x14ac:dyDescent="0.25">
      <c r="A17" s="2"/>
      <c r="B17" s="2"/>
      <c r="C17" s="2"/>
      <c r="D17" s="2"/>
      <c r="E17" s="8"/>
      <c r="F17" s="8"/>
      <c r="G17" s="8"/>
      <c r="H17" s="2"/>
      <c r="I17" s="2"/>
      <c r="J17" s="2"/>
    </row>
    <row r="18" spans="1:10" x14ac:dyDescent="0.25">
      <c r="A18" s="107" t="s">
        <v>31</v>
      </c>
      <c r="B18" s="107"/>
      <c r="C18" s="107"/>
      <c r="D18" s="107"/>
      <c r="E18" s="107"/>
      <c r="F18" s="107"/>
      <c r="G18" s="107"/>
      <c r="H18" s="107"/>
      <c r="I18" s="107"/>
      <c r="J18" s="107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 t="s">
        <v>50</v>
      </c>
      <c r="C22" s="9"/>
      <c r="D22" s="2"/>
      <c r="E22" s="29" t="s">
        <v>124</v>
      </c>
      <c r="F22" s="9"/>
      <c r="G22" s="2"/>
      <c r="H22" s="2"/>
      <c r="I22" s="2"/>
      <c r="J22" s="2"/>
    </row>
    <row r="23" spans="1:10" x14ac:dyDescent="0.25">
      <c r="A23" s="2"/>
      <c r="B23" s="2"/>
      <c r="C23" s="12" t="s">
        <v>33</v>
      </c>
      <c r="D23" s="2"/>
      <c r="E23" s="108" t="s">
        <v>34</v>
      </c>
      <c r="F23" s="108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 t="s">
        <v>28</v>
      </c>
      <c r="C25" s="9"/>
      <c r="D25" s="2"/>
      <c r="E25" s="29" t="s">
        <v>125</v>
      </c>
      <c r="F25" s="9"/>
      <c r="G25" s="2"/>
      <c r="H25" s="2"/>
      <c r="I25" s="2"/>
      <c r="J25" s="2"/>
    </row>
    <row r="26" spans="1:10" x14ac:dyDescent="0.25">
      <c r="A26" s="2"/>
      <c r="B26" s="2"/>
      <c r="C26" s="12" t="s">
        <v>33</v>
      </c>
      <c r="D26" s="2"/>
      <c r="E26" s="108" t="s">
        <v>34</v>
      </c>
      <c r="F26" s="108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</sheetData>
  <mergeCells count="14">
    <mergeCell ref="B16:C16"/>
    <mergeCell ref="A18:J18"/>
    <mergeCell ref="E23:F23"/>
    <mergeCell ref="E26:F26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C12" sqref="C12"/>
    </sheetView>
  </sheetViews>
  <sheetFormatPr defaultRowHeight="15" x14ac:dyDescent="0.25"/>
  <cols>
    <col min="1" max="1" width="9.140625" style="1"/>
    <col min="2" max="2" width="33.5703125" style="1" customWidth="1"/>
    <col min="3" max="3" width="59.85546875" style="1" customWidth="1"/>
    <col min="4" max="4" width="23.42578125" style="1" customWidth="1"/>
    <col min="5" max="5" width="31.28515625" style="1" customWidth="1"/>
    <col min="6" max="6" width="25.28515625" style="1" customWidth="1"/>
    <col min="7" max="7" width="22.5703125" style="1" customWidth="1"/>
    <col min="8" max="8" width="30.5703125" style="1" customWidth="1"/>
    <col min="9" max="16384" width="9.140625" style="1"/>
  </cols>
  <sheetData>
    <row r="1" spans="1:10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2"/>
      <c r="J1" s="2"/>
    </row>
    <row r="2" spans="1:10" x14ac:dyDescent="0.25">
      <c r="A2" s="2"/>
      <c r="B2" s="2"/>
      <c r="C2" s="2"/>
      <c r="D2" s="2"/>
      <c r="E2" s="13" t="s">
        <v>1</v>
      </c>
      <c r="F2" s="2"/>
      <c r="G2" s="2"/>
      <c r="H2" s="2"/>
      <c r="I2" s="2"/>
      <c r="J2" s="2"/>
    </row>
    <row r="3" spans="1:10" x14ac:dyDescent="0.25">
      <c r="A3" s="110" t="s">
        <v>126</v>
      </c>
      <c r="B3" s="110"/>
      <c r="C3" s="110"/>
      <c r="D3" s="110"/>
      <c r="E3" s="110"/>
      <c r="F3" s="110"/>
      <c r="G3" s="110"/>
      <c r="H3" s="110"/>
      <c r="I3" s="2"/>
      <c r="J3" s="2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2"/>
      <c r="J6" s="2"/>
    </row>
    <row r="7" spans="1:10" ht="57" x14ac:dyDescent="0.25">
      <c r="A7" s="112"/>
      <c r="B7" s="113"/>
      <c r="C7" s="113"/>
      <c r="D7" s="113"/>
      <c r="E7" s="113"/>
      <c r="F7" s="30" t="s">
        <v>11</v>
      </c>
      <c r="G7" s="30" t="s">
        <v>12</v>
      </c>
      <c r="H7" s="113"/>
      <c r="I7" s="2"/>
      <c r="J7" s="2"/>
    </row>
    <row r="8" spans="1:10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2"/>
      <c r="J8" s="2"/>
    </row>
    <row r="9" spans="1:10" x14ac:dyDescent="0.25">
      <c r="A9" s="4">
        <v>1</v>
      </c>
      <c r="B9" s="36" t="s">
        <v>127</v>
      </c>
      <c r="C9" s="6" t="s">
        <v>14</v>
      </c>
      <c r="D9" s="5">
        <f>F9/12</f>
        <v>183913.33083333334</v>
      </c>
      <c r="E9" s="5">
        <f>F9+G9</f>
        <v>2378544.9700000002</v>
      </c>
      <c r="F9" s="37">
        <v>2206959.9700000002</v>
      </c>
      <c r="G9" s="38">
        <v>171585</v>
      </c>
      <c r="H9" s="26">
        <f>ROUND(D9/$D$20,1)</f>
        <v>3.8</v>
      </c>
      <c r="I9" s="2"/>
      <c r="J9" s="2"/>
    </row>
    <row r="10" spans="1:10" x14ac:dyDescent="0.25">
      <c r="A10" s="4">
        <v>2</v>
      </c>
      <c r="B10" s="39" t="s">
        <v>128</v>
      </c>
      <c r="C10" s="6" t="s">
        <v>129</v>
      </c>
      <c r="D10" s="5">
        <f t="shared" ref="D10:D19" si="0">F10/12</f>
        <v>121122.88416666667</v>
      </c>
      <c r="E10" s="5">
        <f t="shared" ref="E10:E20" si="1">F10+G10</f>
        <v>1453474.61</v>
      </c>
      <c r="F10" s="40">
        <v>1453474.61</v>
      </c>
      <c r="G10" s="41"/>
      <c r="H10" s="26">
        <f t="shared" ref="H10:H20" si="2">ROUND(D10/$D$20,1)</f>
        <v>2.5</v>
      </c>
      <c r="I10" s="2"/>
      <c r="J10" s="2"/>
    </row>
    <row r="11" spans="1:10" x14ac:dyDescent="0.25">
      <c r="A11" s="4">
        <v>3</v>
      </c>
      <c r="B11" s="39" t="s">
        <v>130</v>
      </c>
      <c r="C11" s="6" t="s">
        <v>20</v>
      </c>
      <c r="D11" s="5">
        <f t="shared" si="0"/>
        <v>122930.64</v>
      </c>
      <c r="E11" s="5">
        <f t="shared" si="1"/>
        <v>1475167.68</v>
      </c>
      <c r="F11" s="40">
        <v>1475167.68</v>
      </c>
      <c r="G11" s="5"/>
      <c r="H11" s="26">
        <f t="shared" si="2"/>
        <v>2.5</v>
      </c>
      <c r="I11" s="2"/>
      <c r="J11" s="2"/>
    </row>
    <row r="12" spans="1:10" ht="30" x14ac:dyDescent="0.25">
      <c r="A12" s="4">
        <v>4</v>
      </c>
      <c r="B12" s="39" t="s">
        <v>131</v>
      </c>
      <c r="C12" s="6" t="s">
        <v>132</v>
      </c>
      <c r="D12" s="5">
        <f t="shared" si="0"/>
        <v>122868.83500000001</v>
      </c>
      <c r="E12" s="5">
        <f t="shared" si="1"/>
        <v>1474426.02</v>
      </c>
      <c r="F12" s="40">
        <v>1474426.02</v>
      </c>
      <c r="G12" s="5"/>
      <c r="H12" s="26">
        <f t="shared" si="2"/>
        <v>2.5</v>
      </c>
      <c r="I12" s="2"/>
      <c r="J12" s="2"/>
    </row>
    <row r="13" spans="1:10" x14ac:dyDescent="0.25">
      <c r="A13" s="4">
        <v>5</v>
      </c>
      <c r="B13" s="39" t="s">
        <v>133</v>
      </c>
      <c r="C13" s="6" t="s">
        <v>16</v>
      </c>
      <c r="D13" s="5">
        <f t="shared" si="0"/>
        <v>166897.18666666668</v>
      </c>
      <c r="E13" s="5">
        <f t="shared" si="1"/>
        <v>2002766.24</v>
      </c>
      <c r="F13" s="40">
        <v>2002766.24</v>
      </c>
      <c r="G13" s="5"/>
      <c r="H13" s="26">
        <f t="shared" si="2"/>
        <v>3.5</v>
      </c>
      <c r="I13" s="2"/>
      <c r="J13" s="2"/>
    </row>
    <row r="14" spans="1:10" ht="30" x14ac:dyDescent="0.25">
      <c r="A14" s="4">
        <v>6</v>
      </c>
      <c r="B14" s="39" t="s">
        <v>134</v>
      </c>
      <c r="C14" s="6" t="s">
        <v>22</v>
      </c>
      <c r="D14" s="5">
        <f t="shared" si="0"/>
        <v>170485.08416666667</v>
      </c>
      <c r="E14" s="5">
        <f t="shared" si="1"/>
        <v>2045821.01</v>
      </c>
      <c r="F14" s="40">
        <v>2045821.01</v>
      </c>
      <c r="G14" s="5"/>
      <c r="H14" s="26">
        <f t="shared" si="2"/>
        <v>3.5</v>
      </c>
      <c r="I14" s="2"/>
      <c r="J14" s="2"/>
    </row>
    <row r="15" spans="1:10" x14ac:dyDescent="0.25">
      <c r="A15" s="4">
        <v>7</v>
      </c>
      <c r="B15" s="39" t="s">
        <v>135</v>
      </c>
      <c r="C15" s="6" t="s">
        <v>28</v>
      </c>
      <c r="D15" s="5">
        <f t="shared" si="0"/>
        <v>139123.24333333332</v>
      </c>
      <c r="E15" s="5">
        <f t="shared" si="1"/>
        <v>1669478.92</v>
      </c>
      <c r="F15" s="40">
        <v>1669478.92</v>
      </c>
      <c r="G15" s="5"/>
      <c r="H15" s="26">
        <f t="shared" si="2"/>
        <v>2.9</v>
      </c>
      <c r="I15" s="2"/>
      <c r="J15" s="2"/>
    </row>
    <row r="16" spans="1:10" x14ac:dyDescent="0.25">
      <c r="A16" s="4">
        <v>8</v>
      </c>
      <c r="B16" s="39" t="s">
        <v>136</v>
      </c>
      <c r="C16" s="6" t="s">
        <v>47</v>
      </c>
      <c r="D16" s="5">
        <f t="shared" si="0"/>
        <v>138571.39916666667</v>
      </c>
      <c r="E16" s="5">
        <f t="shared" si="1"/>
        <v>1662856.79</v>
      </c>
      <c r="F16" s="40">
        <v>1662856.79</v>
      </c>
      <c r="G16" s="5"/>
      <c r="H16" s="26">
        <f t="shared" si="2"/>
        <v>2.9</v>
      </c>
      <c r="I16" s="2"/>
      <c r="J16" s="2"/>
    </row>
    <row r="17" spans="1:10" x14ac:dyDescent="0.25">
      <c r="A17" s="4">
        <v>9</v>
      </c>
      <c r="B17" s="39" t="s">
        <v>137</v>
      </c>
      <c r="C17" s="6" t="s">
        <v>138</v>
      </c>
      <c r="D17" s="5">
        <f t="shared" si="0"/>
        <v>130169.79666666668</v>
      </c>
      <c r="E17" s="5">
        <f t="shared" si="1"/>
        <v>1562037.56</v>
      </c>
      <c r="F17" s="40">
        <v>1562037.56</v>
      </c>
      <c r="G17" s="5"/>
      <c r="H17" s="26">
        <f t="shared" si="2"/>
        <v>2.7</v>
      </c>
      <c r="I17" s="2"/>
      <c r="J17" s="2"/>
    </row>
    <row r="18" spans="1:10" x14ac:dyDescent="0.25">
      <c r="A18" s="4">
        <v>10</v>
      </c>
      <c r="B18" s="39" t="s">
        <v>139</v>
      </c>
      <c r="C18" s="6" t="s">
        <v>140</v>
      </c>
      <c r="D18" s="5">
        <f t="shared" si="0"/>
        <v>114693.83583333333</v>
      </c>
      <c r="E18" s="5">
        <f t="shared" si="1"/>
        <v>1376326.03</v>
      </c>
      <c r="F18" s="40">
        <v>1376326.03</v>
      </c>
      <c r="G18" s="5"/>
      <c r="H18" s="26">
        <f t="shared" si="2"/>
        <v>2.4</v>
      </c>
      <c r="I18" s="2"/>
      <c r="J18" s="2"/>
    </row>
    <row r="19" spans="1:10" x14ac:dyDescent="0.25">
      <c r="A19" s="4">
        <v>11</v>
      </c>
      <c r="B19" s="39" t="s">
        <v>141</v>
      </c>
      <c r="C19" s="6" t="s">
        <v>20</v>
      </c>
      <c r="D19" s="5">
        <f t="shared" si="0"/>
        <v>6448.6533333333327</v>
      </c>
      <c r="E19" s="5">
        <f t="shared" si="1"/>
        <v>77383.839999999997</v>
      </c>
      <c r="F19" s="40">
        <v>77383.839999999997</v>
      </c>
      <c r="G19" s="5"/>
      <c r="H19" s="26">
        <f t="shared" si="2"/>
        <v>0.1</v>
      </c>
      <c r="I19" s="2"/>
      <c r="J19" s="2"/>
    </row>
    <row r="20" spans="1:10" x14ac:dyDescent="0.25">
      <c r="A20" s="6"/>
      <c r="B20" s="105" t="s">
        <v>30</v>
      </c>
      <c r="C20" s="106"/>
      <c r="D20" s="5">
        <f>F20/12/1199.6</f>
        <v>48327.331045765255</v>
      </c>
      <c r="E20" s="5">
        <f t="shared" si="1"/>
        <v>699406421.48000002</v>
      </c>
      <c r="F20" s="37">
        <v>695681595.87</v>
      </c>
      <c r="G20" s="5">
        <v>3724825.61</v>
      </c>
      <c r="H20" s="26">
        <f t="shared" si="2"/>
        <v>1</v>
      </c>
      <c r="I20" s="2"/>
      <c r="J20" s="2"/>
    </row>
    <row r="21" spans="1:10" x14ac:dyDescent="0.25">
      <c r="A21" s="2"/>
      <c r="B21" s="2"/>
      <c r="C21" s="2"/>
      <c r="D21" s="2"/>
      <c r="E21" s="8">
        <f>SUM(E9:E20)</f>
        <v>716584705.14999998</v>
      </c>
      <c r="F21" s="8">
        <f>SUM(F9:F20)</f>
        <v>712688294.53999996</v>
      </c>
      <c r="G21" s="8">
        <f>SUM(G9:G20)</f>
        <v>3896410.61</v>
      </c>
      <c r="H21" s="2"/>
      <c r="I21" s="2"/>
      <c r="J21" s="2"/>
    </row>
    <row r="22" spans="1:10" x14ac:dyDescent="0.25">
      <c r="A22" s="107" t="s">
        <v>31</v>
      </c>
      <c r="B22" s="107"/>
      <c r="C22" s="107"/>
      <c r="D22" s="107"/>
      <c r="E22" s="107"/>
      <c r="F22" s="107"/>
      <c r="G22" s="107"/>
      <c r="H22" s="107"/>
      <c r="I22" s="107"/>
      <c r="J22" s="107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 t="s">
        <v>50</v>
      </c>
      <c r="C26" s="9"/>
      <c r="D26" s="10"/>
      <c r="E26" s="29" t="s">
        <v>142</v>
      </c>
      <c r="F26" s="9"/>
      <c r="G26" s="2"/>
      <c r="H26" s="2"/>
      <c r="I26" s="2"/>
      <c r="J26" s="2"/>
    </row>
    <row r="27" spans="1:10" x14ac:dyDescent="0.25">
      <c r="A27" s="2"/>
      <c r="B27" s="2"/>
      <c r="C27" s="12" t="s">
        <v>33</v>
      </c>
      <c r="D27" s="2"/>
      <c r="E27" s="108" t="s">
        <v>34</v>
      </c>
      <c r="F27" s="108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 t="s">
        <v>28</v>
      </c>
      <c r="C29" s="9"/>
      <c r="D29" s="10"/>
      <c r="E29" s="29" t="s">
        <v>143</v>
      </c>
      <c r="F29" s="9"/>
      <c r="G29" s="2"/>
      <c r="H29" s="2"/>
      <c r="I29" s="2"/>
      <c r="J29" s="2"/>
    </row>
    <row r="30" spans="1:10" x14ac:dyDescent="0.25">
      <c r="A30" s="2"/>
      <c r="B30" s="2"/>
      <c r="C30" s="12" t="s">
        <v>33</v>
      </c>
      <c r="D30" s="2"/>
      <c r="E30" s="108" t="s">
        <v>34</v>
      </c>
      <c r="F30" s="108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mergeCells count="14">
    <mergeCell ref="B20:C20"/>
    <mergeCell ref="A22:J22"/>
    <mergeCell ref="E27:F27"/>
    <mergeCell ref="E30:F30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C12" sqref="C12:C13"/>
    </sheetView>
  </sheetViews>
  <sheetFormatPr defaultRowHeight="15" x14ac:dyDescent="0.25"/>
  <cols>
    <col min="1" max="1" width="9.140625" style="1"/>
    <col min="2" max="2" width="33.5703125" style="1" customWidth="1"/>
    <col min="3" max="3" width="30.28515625" style="1" customWidth="1"/>
    <col min="4" max="4" width="23.42578125" style="1" customWidth="1"/>
    <col min="5" max="5" width="31.28515625" style="1" customWidth="1"/>
    <col min="6" max="6" width="25.28515625" style="1" customWidth="1"/>
    <col min="7" max="7" width="22.5703125" style="1" customWidth="1"/>
    <col min="8" max="8" width="30.5703125" style="1" customWidth="1"/>
    <col min="9" max="16384" width="9.140625" style="1"/>
  </cols>
  <sheetData>
    <row r="1" spans="1:10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2"/>
      <c r="J1" s="2"/>
    </row>
    <row r="2" spans="1:10" x14ac:dyDescent="0.25">
      <c r="A2" s="2"/>
      <c r="B2" s="2"/>
      <c r="C2" s="2"/>
      <c r="D2" s="2"/>
      <c r="E2" s="13" t="s">
        <v>1</v>
      </c>
      <c r="F2" s="2"/>
      <c r="G2" s="2"/>
      <c r="H2" s="2"/>
      <c r="I2" s="2"/>
      <c r="J2" s="2"/>
    </row>
    <row r="3" spans="1:10" x14ac:dyDescent="0.25">
      <c r="A3" s="110" t="s">
        <v>144</v>
      </c>
      <c r="B3" s="110"/>
      <c r="C3" s="110"/>
      <c r="D3" s="110"/>
      <c r="E3" s="110"/>
      <c r="F3" s="110"/>
      <c r="G3" s="110"/>
      <c r="H3" s="110"/>
      <c r="I3" s="2"/>
      <c r="J3" s="2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2"/>
      <c r="J6" s="2"/>
    </row>
    <row r="7" spans="1:10" ht="57" x14ac:dyDescent="0.25">
      <c r="A7" s="112"/>
      <c r="B7" s="113"/>
      <c r="C7" s="113"/>
      <c r="D7" s="113"/>
      <c r="E7" s="113"/>
      <c r="F7" s="30" t="s">
        <v>11</v>
      </c>
      <c r="G7" s="30" t="s">
        <v>12</v>
      </c>
      <c r="H7" s="113"/>
      <c r="I7" s="2"/>
      <c r="J7" s="2"/>
    </row>
    <row r="8" spans="1:10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2"/>
      <c r="J8" s="2"/>
    </row>
    <row r="9" spans="1:10" x14ac:dyDescent="0.25">
      <c r="A9" s="4">
        <v>1</v>
      </c>
      <c r="B9" s="5" t="s">
        <v>145</v>
      </c>
      <c r="C9" s="6" t="s">
        <v>77</v>
      </c>
      <c r="D9" s="5">
        <f>F9/12</f>
        <v>121795.60249999999</v>
      </c>
      <c r="E9" s="5">
        <v>1617763.83</v>
      </c>
      <c r="F9" s="5">
        <v>1461547.23</v>
      </c>
      <c r="G9" s="5">
        <v>156216.6</v>
      </c>
      <c r="H9" s="7">
        <v>2.89</v>
      </c>
      <c r="I9" s="2"/>
      <c r="J9" s="2"/>
    </row>
    <row r="10" spans="1:10" ht="30" x14ac:dyDescent="0.25">
      <c r="A10" s="4">
        <v>2</v>
      </c>
      <c r="B10" s="5" t="s">
        <v>146</v>
      </c>
      <c r="C10" s="6" t="s">
        <v>16</v>
      </c>
      <c r="D10" s="5">
        <f>F10/12</f>
        <v>98286.58666666667</v>
      </c>
      <c r="E10" s="5">
        <v>1179439.04</v>
      </c>
      <c r="F10" s="5">
        <v>1179439.04</v>
      </c>
      <c r="G10" s="5"/>
      <c r="H10" s="7">
        <v>2.33</v>
      </c>
      <c r="I10" s="2"/>
      <c r="J10" s="2"/>
    </row>
    <row r="11" spans="1:10" x14ac:dyDescent="0.25">
      <c r="A11" s="4">
        <v>3</v>
      </c>
      <c r="B11" s="5" t="s">
        <v>147</v>
      </c>
      <c r="C11" s="6" t="s">
        <v>26</v>
      </c>
      <c r="D11" s="5">
        <f>F11/12</f>
        <v>68730.745833333334</v>
      </c>
      <c r="E11" s="5">
        <f>F11+G11</f>
        <v>826986.80999999994</v>
      </c>
      <c r="F11" s="5">
        <v>824768.95</v>
      </c>
      <c r="G11" s="5">
        <v>2217.86</v>
      </c>
      <c r="H11" s="7">
        <v>1.63</v>
      </c>
      <c r="I11" s="2"/>
      <c r="J11" s="2"/>
    </row>
    <row r="12" spans="1:10" x14ac:dyDescent="0.25">
      <c r="A12" s="4">
        <v>4</v>
      </c>
      <c r="B12" s="5" t="s">
        <v>148</v>
      </c>
      <c r="C12" s="6" t="s">
        <v>28</v>
      </c>
      <c r="D12" s="5">
        <f>F12/12</f>
        <v>64878.33666666667</v>
      </c>
      <c r="E12" s="5">
        <v>778540.04</v>
      </c>
      <c r="F12" s="5">
        <v>778540.04</v>
      </c>
      <c r="G12" s="5"/>
      <c r="H12" s="7">
        <v>1.54</v>
      </c>
      <c r="I12" s="2"/>
      <c r="J12" s="2"/>
    </row>
    <row r="13" spans="1:10" ht="30" x14ac:dyDescent="0.25">
      <c r="A13" s="4">
        <v>5</v>
      </c>
      <c r="B13" s="5" t="s">
        <v>149</v>
      </c>
      <c r="C13" s="6" t="s">
        <v>150</v>
      </c>
      <c r="D13" s="5">
        <f>F13/12</f>
        <v>50073.878333333334</v>
      </c>
      <c r="E13" s="5">
        <f>F13+G13</f>
        <v>611565.95000000007</v>
      </c>
      <c r="F13" s="5">
        <v>600886.54</v>
      </c>
      <c r="G13" s="5">
        <v>10679.41</v>
      </c>
      <c r="H13" s="7">
        <v>1.19</v>
      </c>
      <c r="I13" s="2"/>
      <c r="J13" s="2"/>
    </row>
    <row r="14" spans="1:10" x14ac:dyDescent="0.25">
      <c r="A14" s="2"/>
      <c r="B14" s="2"/>
      <c r="C14" s="2"/>
      <c r="D14" s="2"/>
      <c r="E14" s="8"/>
      <c r="F14" s="8"/>
      <c r="G14" s="8"/>
      <c r="H14" s="2"/>
      <c r="I14" s="2"/>
      <c r="J14" s="2"/>
    </row>
    <row r="15" spans="1:10" x14ac:dyDescent="0.25">
      <c r="A15" s="107" t="s">
        <v>31</v>
      </c>
      <c r="B15" s="107"/>
      <c r="C15" s="107"/>
      <c r="D15" s="107"/>
      <c r="E15" s="107"/>
      <c r="F15" s="107"/>
      <c r="G15" s="107"/>
      <c r="H15" s="107"/>
      <c r="I15" s="107"/>
      <c r="J15" s="107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2" t="s">
        <v>50</v>
      </c>
      <c r="C19" s="9"/>
      <c r="D19" s="10"/>
      <c r="E19" s="29" t="s">
        <v>151</v>
      </c>
      <c r="F19" s="9"/>
      <c r="G19" s="2"/>
      <c r="H19" s="2"/>
      <c r="I19" s="2"/>
      <c r="J19" s="2"/>
    </row>
    <row r="20" spans="1:10" x14ac:dyDescent="0.25">
      <c r="A20" s="2"/>
      <c r="B20" s="2"/>
      <c r="C20" s="12" t="s">
        <v>33</v>
      </c>
      <c r="D20" s="2"/>
      <c r="E20" s="108" t="s">
        <v>34</v>
      </c>
      <c r="F20" s="108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 t="s">
        <v>152</v>
      </c>
      <c r="C22" s="9"/>
      <c r="D22" s="10"/>
      <c r="E22" s="29" t="s">
        <v>153</v>
      </c>
      <c r="F22" s="9"/>
      <c r="G22" s="2"/>
      <c r="H22" s="2"/>
      <c r="I22" s="2"/>
      <c r="J22" s="2"/>
    </row>
    <row r="23" spans="1:10" x14ac:dyDescent="0.25">
      <c r="A23" s="2"/>
      <c r="B23" s="2"/>
      <c r="C23" s="12" t="s">
        <v>33</v>
      </c>
      <c r="D23" s="2"/>
      <c r="E23" s="108" t="s">
        <v>34</v>
      </c>
      <c r="F23" s="108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13">
    <mergeCell ref="A15:J15"/>
    <mergeCell ref="E20:F20"/>
    <mergeCell ref="E23:F23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C47" sqref="C47"/>
    </sheetView>
  </sheetViews>
  <sheetFormatPr defaultRowHeight="15" x14ac:dyDescent="0.25"/>
  <cols>
    <col min="1" max="1" width="9.140625" style="52"/>
    <col min="2" max="2" width="33.5703125" style="52" customWidth="1"/>
    <col min="3" max="3" width="30.28515625" style="52" customWidth="1"/>
    <col min="4" max="4" width="23.42578125" style="52" customWidth="1"/>
    <col min="5" max="5" width="31.28515625" style="52" customWidth="1"/>
    <col min="6" max="6" width="25.28515625" style="52" customWidth="1"/>
    <col min="7" max="7" width="22.5703125" style="52" customWidth="1"/>
    <col min="8" max="8" width="30.5703125" style="52" customWidth="1"/>
    <col min="9" max="16384" width="9.140625" style="52"/>
  </cols>
  <sheetData>
    <row r="1" spans="1:10" ht="18.75" customHeight="1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53"/>
      <c r="J1" s="53"/>
    </row>
    <row r="2" spans="1:10" x14ac:dyDescent="0.25">
      <c r="A2" s="53"/>
      <c r="B2" s="53"/>
      <c r="C2" s="53"/>
      <c r="D2" s="53"/>
      <c r="E2" s="63" t="s">
        <v>1</v>
      </c>
      <c r="F2" s="53"/>
      <c r="G2" s="53"/>
      <c r="H2" s="53"/>
      <c r="I2" s="53"/>
      <c r="J2" s="53"/>
    </row>
    <row r="3" spans="1:10" x14ac:dyDescent="0.25">
      <c r="A3" s="110" t="s">
        <v>154</v>
      </c>
      <c r="B3" s="110"/>
      <c r="C3" s="110"/>
      <c r="D3" s="110"/>
      <c r="E3" s="110"/>
      <c r="F3" s="110"/>
      <c r="G3" s="110"/>
      <c r="H3" s="110"/>
      <c r="I3" s="53"/>
      <c r="J3" s="53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53"/>
      <c r="J4" s="53"/>
    </row>
    <row r="5" spans="1:10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53"/>
      <c r="J6" s="53"/>
    </row>
    <row r="7" spans="1:10" ht="57" x14ac:dyDescent="0.25">
      <c r="A7" s="112"/>
      <c r="B7" s="113"/>
      <c r="C7" s="113"/>
      <c r="D7" s="113"/>
      <c r="E7" s="113"/>
      <c r="F7" s="99" t="s">
        <v>11</v>
      </c>
      <c r="G7" s="99" t="s">
        <v>12</v>
      </c>
      <c r="H7" s="113"/>
      <c r="I7" s="53"/>
      <c r="J7" s="53"/>
    </row>
    <row r="8" spans="1:10" x14ac:dyDescent="0.25">
      <c r="A8" s="54">
        <v>1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3"/>
      <c r="J8" s="53"/>
    </row>
    <row r="9" spans="1:10" x14ac:dyDescent="0.25">
      <c r="A9" s="54">
        <v>1</v>
      </c>
      <c r="B9" s="55" t="s">
        <v>334</v>
      </c>
      <c r="C9" s="56" t="s">
        <v>77</v>
      </c>
      <c r="D9" s="55">
        <v>115441.9</v>
      </c>
      <c r="E9" s="55">
        <v>1385302.83</v>
      </c>
      <c r="F9" s="55">
        <v>1385302.83</v>
      </c>
      <c r="G9" s="55">
        <v>0</v>
      </c>
      <c r="H9" s="57">
        <v>2.79</v>
      </c>
      <c r="I9" s="53"/>
      <c r="J9" s="53"/>
    </row>
    <row r="10" spans="1:10" ht="30" x14ac:dyDescent="0.25">
      <c r="A10" s="54">
        <v>2</v>
      </c>
      <c r="B10" s="55" t="s">
        <v>335</v>
      </c>
      <c r="C10" s="56" t="s">
        <v>155</v>
      </c>
      <c r="D10" s="55">
        <v>67531.5</v>
      </c>
      <c r="E10" s="55">
        <v>810378</v>
      </c>
      <c r="F10" s="55">
        <v>810378</v>
      </c>
      <c r="G10" s="55">
        <v>0</v>
      </c>
      <c r="H10" s="57">
        <v>1.63</v>
      </c>
      <c r="I10" s="53"/>
      <c r="J10" s="53"/>
    </row>
    <row r="11" spans="1:10" x14ac:dyDescent="0.25">
      <c r="A11" s="54">
        <v>3</v>
      </c>
      <c r="B11" s="55" t="s">
        <v>336</v>
      </c>
      <c r="C11" s="56" t="s">
        <v>28</v>
      </c>
      <c r="D11" s="55">
        <v>67280.73</v>
      </c>
      <c r="E11" s="55">
        <v>811368.72</v>
      </c>
      <c r="F11" s="55">
        <v>807368.72</v>
      </c>
      <c r="G11" s="55">
        <v>4000</v>
      </c>
      <c r="H11" s="57">
        <v>1.63</v>
      </c>
      <c r="I11" s="53"/>
      <c r="J11" s="53"/>
    </row>
    <row r="12" spans="1:10" x14ac:dyDescent="0.25">
      <c r="A12" s="56"/>
      <c r="B12" s="105" t="s">
        <v>30</v>
      </c>
      <c r="C12" s="106"/>
      <c r="D12" s="55">
        <v>41397.370000000003</v>
      </c>
      <c r="E12" s="55">
        <v>54365295.549999997</v>
      </c>
      <c r="F12" s="55">
        <v>54296795.549999997</v>
      </c>
      <c r="G12" s="55">
        <v>68500</v>
      </c>
      <c r="H12" s="54"/>
      <c r="I12" s="53"/>
      <c r="J12" s="53"/>
    </row>
    <row r="13" spans="1:10" x14ac:dyDescent="0.25">
      <c r="A13" s="53"/>
      <c r="B13" s="53"/>
      <c r="C13" s="53"/>
      <c r="D13" s="53"/>
      <c r="E13" s="58"/>
      <c r="F13" s="58"/>
      <c r="G13" s="58"/>
      <c r="H13" s="53"/>
      <c r="I13" s="53"/>
      <c r="J13" s="53"/>
    </row>
    <row r="14" spans="1:10" x14ac:dyDescent="0.25">
      <c r="A14" s="107" t="s">
        <v>31</v>
      </c>
      <c r="B14" s="107"/>
      <c r="C14" s="107"/>
      <c r="D14" s="107"/>
      <c r="E14" s="107"/>
      <c r="F14" s="107"/>
      <c r="G14" s="107"/>
      <c r="H14" s="107"/>
      <c r="I14" s="107"/>
      <c r="J14" s="107"/>
    </row>
    <row r="15" spans="1:10" x14ac:dyDescent="0.25">
      <c r="A15" s="53"/>
      <c r="B15" s="53"/>
      <c r="C15" s="53"/>
      <c r="D15" s="53"/>
      <c r="E15" s="53"/>
      <c r="F15" s="53"/>
      <c r="G15" s="53"/>
      <c r="H15" s="53"/>
      <c r="I15" s="53"/>
      <c r="J15" s="53"/>
    </row>
    <row r="16" spans="1:10" x14ac:dyDescent="0.25">
      <c r="A16" s="53"/>
      <c r="B16" s="53"/>
      <c r="C16" s="53"/>
      <c r="D16" s="53"/>
      <c r="E16" s="53"/>
      <c r="F16" s="53"/>
      <c r="G16" s="53"/>
      <c r="H16" s="53"/>
      <c r="I16" s="53"/>
      <c r="J16" s="53"/>
    </row>
    <row r="17" spans="1:10" x14ac:dyDescent="0.25">
      <c r="A17" s="53"/>
      <c r="B17" s="53"/>
      <c r="C17" s="53"/>
      <c r="D17" s="53"/>
      <c r="E17" s="53"/>
      <c r="F17" s="53"/>
      <c r="G17" s="53"/>
      <c r="H17" s="53"/>
      <c r="I17" s="53"/>
      <c r="J17" s="53"/>
    </row>
    <row r="18" spans="1:10" x14ac:dyDescent="0.25">
      <c r="A18" s="53"/>
      <c r="B18" s="53" t="s">
        <v>50</v>
      </c>
      <c r="C18" s="59"/>
      <c r="D18" s="60"/>
      <c r="E18" s="110" t="s">
        <v>156</v>
      </c>
      <c r="F18" s="110"/>
      <c r="G18" s="53"/>
      <c r="H18" s="53"/>
      <c r="I18" s="53"/>
      <c r="J18" s="53"/>
    </row>
    <row r="19" spans="1:10" x14ac:dyDescent="0.25">
      <c r="A19" s="53"/>
      <c r="B19" s="53"/>
      <c r="C19" s="62" t="s">
        <v>33</v>
      </c>
      <c r="D19" s="53"/>
      <c r="E19" s="108" t="s">
        <v>34</v>
      </c>
      <c r="F19" s="108"/>
      <c r="G19" s="53"/>
      <c r="H19" s="53"/>
      <c r="I19" s="53"/>
      <c r="J19" s="53"/>
    </row>
    <row r="20" spans="1:10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</row>
    <row r="21" spans="1:10" x14ac:dyDescent="0.25">
      <c r="A21" s="53"/>
      <c r="B21" s="53" t="s">
        <v>28</v>
      </c>
      <c r="C21" s="59"/>
      <c r="D21" s="60"/>
      <c r="E21" s="110" t="s">
        <v>157</v>
      </c>
      <c r="F21" s="110"/>
      <c r="G21" s="53"/>
      <c r="H21" s="53"/>
      <c r="I21" s="53"/>
      <c r="J21" s="53"/>
    </row>
    <row r="22" spans="1:10" x14ac:dyDescent="0.25">
      <c r="A22" s="53"/>
      <c r="B22" s="53"/>
      <c r="C22" s="62" t="s">
        <v>33</v>
      </c>
      <c r="D22" s="53"/>
      <c r="E22" s="108" t="s">
        <v>34</v>
      </c>
      <c r="F22" s="108"/>
      <c r="G22" s="53"/>
      <c r="H22" s="53"/>
      <c r="I22" s="53"/>
      <c r="J22" s="53"/>
    </row>
    <row r="23" spans="1:10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</row>
  </sheetData>
  <mergeCells count="16">
    <mergeCell ref="E22:F22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2:C12"/>
    <mergeCell ref="A14:J14"/>
    <mergeCell ref="E18:F18"/>
    <mergeCell ref="E19:F19"/>
    <mergeCell ref="E21:F2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B15" sqref="B15"/>
    </sheetView>
  </sheetViews>
  <sheetFormatPr defaultRowHeight="15" x14ac:dyDescent="0.25"/>
  <cols>
    <col min="1" max="1" width="9.140625" style="1"/>
    <col min="2" max="2" width="33.5703125" style="1" customWidth="1"/>
    <col min="3" max="3" width="30.28515625" style="1" customWidth="1"/>
    <col min="4" max="4" width="23.42578125" style="1" customWidth="1"/>
    <col min="5" max="5" width="31.28515625" style="1" customWidth="1"/>
    <col min="6" max="6" width="25.28515625" style="1" customWidth="1"/>
    <col min="7" max="7" width="22.5703125" style="1" customWidth="1"/>
    <col min="8" max="8" width="30.5703125" style="1" customWidth="1"/>
    <col min="9" max="16384" width="9.140625" style="1"/>
  </cols>
  <sheetData>
    <row r="1" spans="1:10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2"/>
      <c r="J1" s="2"/>
    </row>
    <row r="2" spans="1:10" x14ac:dyDescent="0.25">
      <c r="A2" s="2"/>
      <c r="B2" s="2"/>
      <c r="C2" s="2"/>
      <c r="D2" s="2"/>
      <c r="E2" s="13" t="s">
        <v>1</v>
      </c>
      <c r="F2" s="2"/>
      <c r="G2" s="2"/>
      <c r="H2" s="2"/>
      <c r="I2" s="2"/>
      <c r="J2" s="2"/>
    </row>
    <row r="3" spans="1:10" x14ac:dyDescent="0.25">
      <c r="A3" s="110" t="s">
        <v>158</v>
      </c>
      <c r="B3" s="110"/>
      <c r="C3" s="110"/>
      <c r="D3" s="110"/>
      <c r="E3" s="110"/>
      <c r="F3" s="110"/>
      <c r="G3" s="110"/>
      <c r="H3" s="110"/>
      <c r="I3" s="2"/>
      <c r="J3" s="2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2"/>
      <c r="J6" s="2"/>
    </row>
    <row r="7" spans="1:10" ht="57" x14ac:dyDescent="0.25">
      <c r="A7" s="112"/>
      <c r="B7" s="113"/>
      <c r="C7" s="113"/>
      <c r="D7" s="113"/>
      <c r="E7" s="113"/>
      <c r="F7" s="30" t="s">
        <v>11</v>
      </c>
      <c r="G7" s="30" t="s">
        <v>12</v>
      </c>
      <c r="H7" s="113"/>
      <c r="I7" s="2"/>
      <c r="J7" s="2"/>
    </row>
    <row r="8" spans="1:10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2"/>
      <c r="J8" s="2"/>
    </row>
    <row r="9" spans="1:10" x14ac:dyDescent="0.25">
      <c r="A9" s="4">
        <v>1</v>
      </c>
      <c r="B9" s="5" t="s">
        <v>344</v>
      </c>
      <c r="C9" s="6" t="s">
        <v>77</v>
      </c>
      <c r="D9" s="5">
        <f>F9/12</f>
        <v>113908.43083333333</v>
      </c>
      <c r="E9" s="5">
        <v>1816904.85</v>
      </c>
      <c r="F9" s="5">
        <v>1366901.17</v>
      </c>
      <c r="G9" s="5">
        <f>E9-F9</f>
        <v>450003.68000000017</v>
      </c>
      <c r="H9" s="7">
        <f>D9/$D$16</f>
        <v>3.0254445523956668</v>
      </c>
      <c r="I9" s="2"/>
      <c r="J9" s="2"/>
    </row>
    <row r="10" spans="1:10" ht="30" x14ac:dyDescent="0.25">
      <c r="A10" s="4">
        <v>2</v>
      </c>
      <c r="B10" s="5" t="s">
        <v>345</v>
      </c>
      <c r="C10" s="6" t="s">
        <v>160</v>
      </c>
      <c r="D10" s="5">
        <f t="shared" ref="D10:D15" si="0">F10/12</f>
        <v>107357.63833333332</v>
      </c>
      <c r="E10" s="5">
        <v>1418202.91</v>
      </c>
      <c r="F10" s="5">
        <v>1288291.6599999999</v>
      </c>
      <c r="G10" s="5">
        <f t="shared" ref="G10:G16" si="1">E10-F10</f>
        <v>129911.25</v>
      </c>
      <c r="H10" s="7">
        <f t="shared" ref="H10:H16" si="2">D10/$D$16</f>
        <v>2.8514533970614497</v>
      </c>
      <c r="I10" s="2"/>
      <c r="J10" s="2"/>
    </row>
    <row r="11" spans="1:10" ht="30" x14ac:dyDescent="0.25">
      <c r="A11" s="4">
        <v>3</v>
      </c>
      <c r="B11" s="5" t="s">
        <v>346</v>
      </c>
      <c r="C11" s="6" t="s">
        <v>161</v>
      </c>
      <c r="D11" s="5">
        <f t="shared" si="0"/>
        <v>77361.535833333342</v>
      </c>
      <c r="E11" s="5">
        <v>1034922.67</v>
      </c>
      <c r="F11" s="5">
        <v>928338.43</v>
      </c>
      <c r="G11" s="5">
        <f t="shared" si="1"/>
        <v>106584.23999999999</v>
      </c>
      <c r="H11" s="7">
        <f t="shared" si="2"/>
        <v>2.0547472688336685</v>
      </c>
      <c r="I11" s="2"/>
      <c r="J11" s="2"/>
    </row>
    <row r="12" spans="1:10" ht="30" x14ac:dyDescent="0.25">
      <c r="A12" s="4"/>
      <c r="B12" s="5" t="s">
        <v>347</v>
      </c>
      <c r="C12" s="6" t="s">
        <v>162</v>
      </c>
      <c r="D12" s="5">
        <f t="shared" si="0"/>
        <v>87838.022500000006</v>
      </c>
      <c r="E12" s="5">
        <v>1191147.1399999999</v>
      </c>
      <c r="F12" s="5">
        <v>1054056.27</v>
      </c>
      <c r="G12" s="5">
        <f t="shared" si="1"/>
        <v>137090.86999999988</v>
      </c>
      <c r="H12" s="7">
        <f t="shared" si="2"/>
        <v>2.3330061236175519</v>
      </c>
      <c r="I12" s="2"/>
      <c r="J12" s="2"/>
    </row>
    <row r="13" spans="1:10" ht="30" x14ac:dyDescent="0.25">
      <c r="A13" s="4"/>
      <c r="B13" s="5" t="s">
        <v>348</v>
      </c>
      <c r="C13" s="6" t="s">
        <v>163</v>
      </c>
      <c r="D13" s="5">
        <f t="shared" si="0"/>
        <v>53796.343333333331</v>
      </c>
      <c r="E13" s="5">
        <v>738964.47</v>
      </c>
      <c r="F13" s="5">
        <v>645556.12</v>
      </c>
      <c r="G13" s="5">
        <f t="shared" si="1"/>
        <v>93408.349999999977</v>
      </c>
      <c r="H13" s="7">
        <f t="shared" si="2"/>
        <v>1.4288481781895637</v>
      </c>
      <c r="I13" s="2"/>
      <c r="J13" s="2"/>
    </row>
    <row r="14" spans="1:10" ht="30" x14ac:dyDescent="0.25">
      <c r="A14" s="4">
        <v>4</v>
      </c>
      <c r="B14" s="5" t="s">
        <v>349</v>
      </c>
      <c r="C14" s="6" t="s">
        <v>164</v>
      </c>
      <c r="D14" s="5">
        <f t="shared" si="0"/>
        <v>84175.360000000001</v>
      </c>
      <c r="E14" s="5">
        <v>1105200.3500000001</v>
      </c>
      <c r="F14" s="5">
        <v>1010104.3199999999</v>
      </c>
      <c r="G14" s="5">
        <f t="shared" si="1"/>
        <v>95096.030000000144</v>
      </c>
      <c r="H14" s="7">
        <f t="shared" si="2"/>
        <v>2.2357246298174793</v>
      </c>
      <c r="I14" s="2"/>
      <c r="J14" s="2"/>
    </row>
    <row r="15" spans="1:10" x14ac:dyDescent="0.25">
      <c r="A15" s="4">
        <v>6</v>
      </c>
      <c r="B15" s="5" t="s">
        <v>350</v>
      </c>
      <c r="C15" s="6" t="s">
        <v>28</v>
      </c>
      <c r="D15" s="5">
        <f t="shared" si="0"/>
        <v>103653.41499999999</v>
      </c>
      <c r="E15" s="5">
        <v>1367866.01</v>
      </c>
      <c r="F15" s="5">
        <v>1243840.98</v>
      </c>
      <c r="G15" s="5">
        <f t="shared" si="1"/>
        <v>124025.03000000003</v>
      </c>
      <c r="H15" s="7">
        <f t="shared" si="2"/>
        <v>2.7530680341633529</v>
      </c>
      <c r="I15" s="2"/>
      <c r="J15" s="2"/>
    </row>
    <row r="16" spans="1:10" x14ac:dyDescent="0.25">
      <c r="A16" s="6"/>
      <c r="B16" s="105" t="s">
        <v>30</v>
      </c>
      <c r="C16" s="106"/>
      <c r="D16" s="5">
        <f>F16/12/1167.7</f>
        <v>37650.146568753386</v>
      </c>
      <c r="E16" s="5">
        <v>610895935.50999999</v>
      </c>
      <c r="F16" s="5">
        <v>527568913.77999997</v>
      </c>
      <c r="G16" s="5">
        <f t="shared" si="1"/>
        <v>83327021.730000019</v>
      </c>
      <c r="H16" s="7">
        <f t="shared" si="2"/>
        <v>1</v>
      </c>
      <c r="I16" s="2"/>
      <c r="J16" s="2"/>
    </row>
    <row r="17" spans="1:10" x14ac:dyDescent="0.25">
      <c r="A17" s="2"/>
      <c r="B17" s="2"/>
      <c r="C17" s="2"/>
      <c r="D17" s="2"/>
      <c r="E17" s="8"/>
      <c r="F17" s="8"/>
      <c r="G17" s="8"/>
      <c r="H17" s="2"/>
      <c r="I17" s="2"/>
      <c r="J17" s="2"/>
    </row>
    <row r="18" spans="1:10" x14ac:dyDescent="0.25">
      <c r="A18" s="107" t="s">
        <v>31</v>
      </c>
      <c r="B18" s="107"/>
      <c r="C18" s="107"/>
      <c r="D18" s="107"/>
      <c r="E18" s="107"/>
      <c r="F18" s="107"/>
      <c r="G18" s="107"/>
      <c r="H18" s="107"/>
      <c r="I18" s="107"/>
      <c r="J18" s="107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 t="s">
        <v>50</v>
      </c>
      <c r="C22" s="9"/>
      <c r="D22" s="10"/>
      <c r="E22" s="29" t="s">
        <v>159</v>
      </c>
      <c r="F22" s="9"/>
      <c r="G22" s="2"/>
      <c r="H22" s="2"/>
      <c r="I22" s="2"/>
      <c r="J22" s="2"/>
    </row>
    <row r="23" spans="1:10" x14ac:dyDescent="0.25">
      <c r="A23" s="2"/>
      <c r="B23" s="2"/>
      <c r="C23" s="12" t="s">
        <v>33</v>
      </c>
      <c r="D23" s="2"/>
      <c r="E23" s="108" t="s">
        <v>34</v>
      </c>
      <c r="F23" s="108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 t="s">
        <v>28</v>
      </c>
      <c r="C25" s="9"/>
      <c r="D25" s="10"/>
      <c r="E25" s="29" t="s">
        <v>165</v>
      </c>
      <c r="F25" s="9"/>
      <c r="G25" s="2"/>
      <c r="H25" s="2"/>
      <c r="I25" s="2"/>
      <c r="J25" s="2"/>
    </row>
    <row r="26" spans="1:10" x14ac:dyDescent="0.25">
      <c r="A26" s="2"/>
      <c r="B26" s="2"/>
      <c r="C26" s="12" t="s">
        <v>33</v>
      </c>
      <c r="D26" s="2"/>
      <c r="E26" s="108" t="s">
        <v>34</v>
      </c>
      <c r="F26" s="108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</sheetData>
  <mergeCells count="14">
    <mergeCell ref="B16:C16"/>
    <mergeCell ref="A18:J18"/>
    <mergeCell ref="E23:F23"/>
    <mergeCell ref="E26:F26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C10" sqref="C10"/>
    </sheetView>
  </sheetViews>
  <sheetFormatPr defaultRowHeight="15" x14ac:dyDescent="0.25"/>
  <cols>
    <col min="1" max="1" width="6.7109375" style="1" customWidth="1"/>
    <col min="2" max="2" width="27.7109375" style="1" customWidth="1"/>
    <col min="3" max="3" width="29.42578125" style="1" customWidth="1"/>
    <col min="4" max="4" width="23.42578125" style="1" customWidth="1"/>
    <col min="5" max="5" width="28" style="1" customWidth="1"/>
    <col min="6" max="6" width="24.7109375" style="1" customWidth="1"/>
    <col min="7" max="7" width="21.7109375" style="1" customWidth="1"/>
    <col min="8" max="8" width="30.5703125" style="1" customWidth="1"/>
    <col min="9" max="16384" width="9.140625" style="1"/>
  </cols>
  <sheetData>
    <row r="1" spans="1:10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2"/>
      <c r="J1" s="2"/>
    </row>
    <row r="2" spans="1:10" x14ac:dyDescent="0.25">
      <c r="A2" s="2"/>
      <c r="B2" s="2"/>
      <c r="C2" s="2"/>
      <c r="D2" s="2"/>
      <c r="E2" s="13" t="s">
        <v>1</v>
      </c>
      <c r="F2" s="2"/>
      <c r="G2" s="2"/>
      <c r="H2" s="2"/>
      <c r="I2" s="2"/>
      <c r="J2" s="2"/>
    </row>
    <row r="3" spans="1:10" x14ac:dyDescent="0.25">
      <c r="A3" s="121" t="s">
        <v>166</v>
      </c>
      <c r="B3" s="121"/>
      <c r="C3" s="121"/>
      <c r="D3" s="121"/>
      <c r="E3" s="121"/>
      <c r="F3" s="121"/>
      <c r="G3" s="121"/>
      <c r="H3" s="121"/>
      <c r="I3" s="2"/>
      <c r="J3" s="2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2"/>
      <c r="J6" s="2"/>
    </row>
    <row r="7" spans="1:10" ht="57" x14ac:dyDescent="0.25">
      <c r="A7" s="112"/>
      <c r="B7" s="113"/>
      <c r="C7" s="113"/>
      <c r="D7" s="113"/>
      <c r="E7" s="113"/>
      <c r="F7" s="30" t="s">
        <v>11</v>
      </c>
      <c r="G7" s="30" t="s">
        <v>12</v>
      </c>
      <c r="H7" s="113"/>
      <c r="I7" s="2"/>
      <c r="J7" s="2"/>
    </row>
    <row r="8" spans="1:10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2"/>
      <c r="J8" s="2"/>
    </row>
    <row r="9" spans="1:10" ht="30" x14ac:dyDescent="0.25">
      <c r="A9" s="4">
        <v>1</v>
      </c>
      <c r="B9" s="5" t="s">
        <v>167</v>
      </c>
      <c r="C9" s="6" t="s">
        <v>14</v>
      </c>
      <c r="D9" s="35">
        <f>F9/12</f>
        <v>168489.49083333332</v>
      </c>
      <c r="E9" s="35">
        <f>F9+G9</f>
        <v>2491386.2399999998</v>
      </c>
      <c r="F9" s="35">
        <v>2021873.89</v>
      </c>
      <c r="G9" s="35">
        <v>469512.35</v>
      </c>
      <c r="H9" s="26">
        <f>D9/$D$19</f>
        <v>4.0846705615911247</v>
      </c>
      <c r="I9" s="2"/>
      <c r="J9" s="2"/>
    </row>
    <row r="10" spans="1:10" ht="30" x14ac:dyDescent="0.25">
      <c r="A10" s="4">
        <v>2</v>
      </c>
      <c r="B10" s="5" t="s">
        <v>168</v>
      </c>
      <c r="C10" s="6" t="s">
        <v>169</v>
      </c>
      <c r="D10" s="35">
        <f t="shared" ref="D10:D18" si="0">F10/12</f>
        <v>158775.69166666668</v>
      </c>
      <c r="E10" s="35">
        <f t="shared" ref="E10:E19" si="1">F10+G10</f>
        <v>2175406.19</v>
      </c>
      <c r="F10" s="35">
        <v>1905308.3</v>
      </c>
      <c r="G10" s="35">
        <v>270097.89</v>
      </c>
      <c r="H10" s="26">
        <f t="shared" ref="H10:H18" si="2">D10/$D$19</f>
        <v>3.8491800909329874</v>
      </c>
      <c r="I10" s="2"/>
      <c r="J10" s="2"/>
    </row>
    <row r="11" spans="1:10" ht="30" x14ac:dyDescent="0.25">
      <c r="A11" s="4">
        <v>3</v>
      </c>
      <c r="B11" s="5" t="s">
        <v>170</v>
      </c>
      <c r="C11" s="6" t="s">
        <v>171</v>
      </c>
      <c r="D11" s="35">
        <f t="shared" si="0"/>
        <v>147746.89333333334</v>
      </c>
      <c r="E11" s="35">
        <f t="shared" si="1"/>
        <v>2072364.8</v>
      </c>
      <c r="F11" s="35">
        <v>1772962.72</v>
      </c>
      <c r="G11" s="35">
        <v>299402.08</v>
      </c>
      <c r="H11" s="26">
        <f t="shared" si="2"/>
        <v>3.5818102528553499</v>
      </c>
      <c r="I11" s="2"/>
      <c r="J11" s="2"/>
    </row>
    <row r="12" spans="1:10" ht="30" x14ac:dyDescent="0.25">
      <c r="A12" s="4">
        <v>4</v>
      </c>
      <c r="B12" s="5" t="s">
        <v>172</v>
      </c>
      <c r="C12" s="6" t="s">
        <v>173</v>
      </c>
      <c r="D12" s="35">
        <f t="shared" si="0"/>
        <v>144627.99083333332</v>
      </c>
      <c r="E12" s="35">
        <f t="shared" si="1"/>
        <v>1915197.5599999998</v>
      </c>
      <c r="F12" s="35">
        <v>1735535.89</v>
      </c>
      <c r="G12" s="35">
        <v>179661.67</v>
      </c>
      <c r="H12" s="26">
        <f t="shared" si="2"/>
        <v>3.5061990728154924</v>
      </c>
      <c r="I12" s="2"/>
      <c r="J12" s="2"/>
    </row>
    <row r="13" spans="1:10" ht="30" x14ac:dyDescent="0.25">
      <c r="A13" s="4">
        <v>5</v>
      </c>
      <c r="B13" s="5" t="s">
        <v>174</v>
      </c>
      <c r="C13" s="6" t="s">
        <v>20</v>
      </c>
      <c r="D13" s="35">
        <f t="shared" si="0"/>
        <v>110124.50833333335</v>
      </c>
      <c r="E13" s="35">
        <f t="shared" si="1"/>
        <v>1456866.4000000001</v>
      </c>
      <c r="F13" s="35">
        <v>1321494.1000000001</v>
      </c>
      <c r="G13" s="35">
        <v>135372.29999999999</v>
      </c>
      <c r="H13" s="26">
        <f t="shared" si="2"/>
        <v>2.6697352759159276</v>
      </c>
      <c r="I13" s="2"/>
      <c r="J13" s="2"/>
    </row>
    <row r="14" spans="1:10" ht="45" x14ac:dyDescent="0.25">
      <c r="A14" s="4">
        <v>6</v>
      </c>
      <c r="B14" s="5" t="s">
        <v>175</v>
      </c>
      <c r="C14" s="6" t="s">
        <v>22</v>
      </c>
      <c r="D14" s="35">
        <f t="shared" si="0"/>
        <v>127941.04666666668</v>
      </c>
      <c r="E14" s="35">
        <f t="shared" si="1"/>
        <v>1691824.36</v>
      </c>
      <c r="F14" s="35">
        <v>1535292.56</v>
      </c>
      <c r="G14" s="35">
        <v>156531.79999999999</v>
      </c>
      <c r="H14" s="26">
        <f t="shared" si="2"/>
        <v>3.1016594824625177</v>
      </c>
      <c r="I14" s="2"/>
      <c r="J14" s="2"/>
    </row>
    <row r="15" spans="1:10" ht="30" x14ac:dyDescent="0.25">
      <c r="A15" s="4">
        <v>7</v>
      </c>
      <c r="B15" s="5" t="s">
        <v>176</v>
      </c>
      <c r="C15" s="6" t="s">
        <v>177</v>
      </c>
      <c r="D15" s="35">
        <f>F15/11</f>
        <v>125066.17545454545</v>
      </c>
      <c r="E15" s="35">
        <f t="shared" si="1"/>
        <v>1580664.44</v>
      </c>
      <c r="F15" s="35">
        <v>1375727.93</v>
      </c>
      <c r="G15" s="35">
        <v>204936.51</v>
      </c>
      <c r="H15" s="26">
        <f t="shared" si="2"/>
        <v>3.0319643237292455</v>
      </c>
      <c r="I15" s="2"/>
      <c r="J15" s="2"/>
    </row>
    <row r="16" spans="1:10" ht="30" x14ac:dyDescent="0.25">
      <c r="A16" s="4">
        <v>8</v>
      </c>
      <c r="B16" s="5" t="s">
        <v>178</v>
      </c>
      <c r="C16" s="6" t="s">
        <v>47</v>
      </c>
      <c r="D16" s="35">
        <f t="shared" si="0"/>
        <v>133841.60833333334</v>
      </c>
      <c r="E16" s="35">
        <f t="shared" si="1"/>
        <v>1847831.69</v>
      </c>
      <c r="F16" s="35">
        <v>1606099.3</v>
      </c>
      <c r="G16" s="35">
        <v>241732.39</v>
      </c>
      <c r="H16" s="26">
        <f t="shared" si="2"/>
        <v>3.2447060927732312</v>
      </c>
      <c r="I16" s="2"/>
      <c r="J16" s="2"/>
    </row>
    <row r="17" spans="1:10" ht="30" x14ac:dyDescent="0.25">
      <c r="A17" s="4">
        <v>9</v>
      </c>
      <c r="B17" s="5" t="s">
        <v>179</v>
      </c>
      <c r="C17" s="6" t="s">
        <v>180</v>
      </c>
      <c r="D17" s="35">
        <f t="shared" si="0"/>
        <v>117137.05416666665</v>
      </c>
      <c r="E17" s="35">
        <f t="shared" si="1"/>
        <v>1569127.0599999998</v>
      </c>
      <c r="F17" s="35">
        <v>1405644.65</v>
      </c>
      <c r="G17" s="35">
        <v>163482.41</v>
      </c>
      <c r="H17" s="26">
        <f t="shared" si="2"/>
        <v>2.8397395852978056</v>
      </c>
      <c r="I17" s="2"/>
      <c r="J17" s="2"/>
    </row>
    <row r="18" spans="1:10" ht="30" x14ac:dyDescent="0.25">
      <c r="A18" s="4">
        <v>10</v>
      </c>
      <c r="B18" s="5" t="s">
        <v>181</v>
      </c>
      <c r="C18" s="6" t="s">
        <v>28</v>
      </c>
      <c r="D18" s="35">
        <f t="shared" si="0"/>
        <v>128079.87333333334</v>
      </c>
      <c r="E18" s="35">
        <f t="shared" si="1"/>
        <v>1671993.7</v>
      </c>
      <c r="F18" s="35">
        <v>1536958.48</v>
      </c>
      <c r="G18" s="35">
        <v>135035.22</v>
      </c>
      <c r="H18" s="26">
        <f t="shared" si="2"/>
        <v>3.1050250407278579</v>
      </c>
      <c r="I18" s="2"/>
      <c r="J18" s="2"/>
    </row>
    <row r="19" spans="1:10" x14ac:dyDescent="0.25">
      <c r="A19" s="6"/>
      <c r="B19" s="105" t="s">
        <v>30</v>
      </c>
      <c r="C19" s="106"/>
      <c r="D19" s="35">
        <f>F19/12/1238.7</f>
        <v>41249.223968676837</v>
      </c>
      <c r="E19" s="35">
        <f t="shared" si="1"/>
        <v>692577356.81999993</v>
      </c>
      <c r="F19" s="35">
        <v>613144964.75999999</v>
      </c>
      <c r="G19" s="35">
        <v>79432392.060000002</v>
      </c>
      <c r="H19" s="4" t="s">
        <v>182</v>
      </c>
      <c r="I19" s="2"/>
      <c r="J19" s="2"/>
    </row>
    <row r="20" spans="1:10" x14ac:dyDescent="0.25">
      <c r="A20" s="2"/>
      <c r="B20" s="2"/>
      <c r="C20" s="2"/>
      <c r="D20" s="2"/>
      <c r="E20" s="8"/>
      <c r="F20" s="8"/>
      <c r="G20" s="8"/>
      <c r="H20" s="2"/>
      <c r="I20" s="2"/>
      <c r="J20" s="2"/>
    </row>
    <row r="21" spans="1:10" x14ac:dyDescent="0.25">
      <c r="A21" s="107" t="s">
        <v>31</v>
      </c>
      <c r="B21" s="107"/>
      <c r="C21" s="107"/>
      <c r="D21" s="107"/>
      <c r="E21" s="107"/>
      <c r="F21" s="107"/>
      <c r="G21" s="107"/>
      <c r="H21" s="107"/>
      <c r="I21" s="107"/>
      <c r="J21" s="107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30" x14ac:dyDescent="0.25">
      <c r="A25" s="2"/>
      <c r="B25" s="2" t="s">
        <v>50</v>
      </c>
      <c r="C25" s="9"/>
      <c r="D25" s="10"/>
      <c r="E25" s="110" t="s">
        <v>183</v>
      </c>
      <c r="F25" s="110"/>
      <c r="G25" s="2"/>
      <c r="H25" s="2"/>
      <c r="I25" s="2"/>
      <c r="J25" s="2"/>
    </row>
    <row r="26" spans="1:10" x14ac:dyDescent="0.25">
      <c r="A26" s="2"/>
      <c r="B26" s="2"/>
      <c r="C26" s="12" t="s">
        <v>33</v>
      </c>
      <c r="D26" s="2"/>
      <c r="E26" s="108" t="s">
        <v>34</v>
      </c>
      <c r="F26" s="108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 t="s">
        <v>28</v>
      </c>
      <c r="C28" s="9"/>
      <c r="D28" s="10"/>
      <c r="E28" s="110" t="s">
        <v>184</v>
      </c>
      <c r="F28" s="110"/>
      <c r="G28" s="2"/>
      <c r="H28" s="2"/>
      <c r="I28" s="2"/>
      <c r="J28" s="2"/>
    </row>
    <row r="29" spans="1:10" x14ac:dyDescent="0.25">
      <c r="A29" s="2"/>
      <c r="B29" s="2"/>
      <c r="C29" s="12" t="s">
        <v>33</v>
      </c>
      <c r="D29" s="2"/>
      <c r="E29" s="108" t="s">
        <v>34</v>
      </c>
      <c r="F29" s="108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</sheetData>
  <mergeCells count="16">
    <mergeCell ref="E29:F29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9:C19"/>
    <mergeCell ref="A21:J21"/>
    <mergeCell ref="E25:F25"/>
    <mergeCell ref="E26:F26"/>
    <mergeCell ref="E28:F2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H23" sqref="H23"/>
    </sheetView>
  </sheetViews>
  <sheetFormatPr defaultRowHeight="15" x14ac:dyDescent="0.25"/>
  <cols>
    <col min="1" max="1" width="9.140625" style="1"/>
    <col min="2" max="2" width="33.5703125" style="1" customWidth="1"/>
    <col min="3" max="3" width="30.28515625" style="1" customWidth="1"/>
    <col min="4" max="4" width="23.42578125" style="1" customWidth="1"/>
    <col min="5" max="5" width="31.28515625" style="1" customWidth="1"/>
    <col min="6" max="6" width="25.28515625" style="1" customWidth="1"/>
    <col min="7" max="7" width="22.5703125" style="1" customWidth="1"/>
    <col min="8" max="8" width="30.5703125" style="1" customWidth="1"/>
    <col min="9" max="16384" width="9.140625" style="1"/>
  </cols>
  <sheetData>
    <row r="1" spans="1:10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2"/>
      <c r="J1" s="2"/>
    </row>
    <row r="2" spans="1:10" x14ac:dyDescent="0.25">
      <c r="A2" s="2"/>
      <c r="B2" s="2"/>
      <c r="C2" s="2"/>
      <c r="D2" s="2"/>
      <c r="E2" s="13" t="s">
        <v>1</v>
      </c>
      <c r="F2" s="2"/>
      <c r="G2" s="2"/>
      <c r="H2" s="2"/>
      <c r="I2" s="2"/>
      <c r="J2" s="2"/>
    </row>
    <row r="3" spans="1:10" x14ac:dyDescent="0.25">
      <c r="A3" s="110" t="s">
        <v>185</v>
      </c>
      <c r="B3" s="110"/>
      <c r="C3" s="110"/>
      <c r="D3" s="110"/>
      <c r="E3" s="110"/>
      <c r="F3" s="110"/>
      <c r="G3" s="110"/>
      <c r="H3" s="110"/>
      <c r="I3" s="2"/>
      <c r="J3" s="2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2"/>
      <c r="J6" s="2"/>
    </row>
    <row r="7" spans="1:10" ht="57" x14ac:dyDescent="0.25">
      <c r="A7" s="112"/>
      <c r="B7" s="113"/>
      <c r="C7" s="113"/>
      <c r="D7" s="113"/>
      <c r="E7" s="113"/>
      <c r="F7" s="34" t="s">
        <v>11</v>
      </c>
      <c r="G7" s="34" t="s">
        <v>12</v>
      </c>
      <c r="H7" s="113"/>
      <c r="I7" s="2"/>
      <c r="J7" s="2"/>
    </row>
    <row r="8" spans="1:10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2"/>
      <c r="J8" s="2"/>
    </row>
    <row r="9" spans="1:10" ht="31.5" x14ac:dyDescent="0.25">
      <c r="A9" s="4">
        <v>1</v>
      </c>
      <c r="B9" s="14" t="s">
        <v>186</v>
      </c>
      <c r="C9" s="14" t="s">
        <v>14</v>
      </c>
      <c r="D9" s="5">
        <f>F9/12</f>
        <v>107960.99249999999</v>
      </c>
      <c r="E9" s="5">
        <f>F9+G9</f>
        <v>1413467.51</v>
      </c>
      <c r="F9" s="5">
        <v>1295531.9099999999</v>
      </c>
      <c r="G9" s="5">
        <v>117935.6</v>
      </c>
      <c r="H9" s="7">
        <f>D9/D17</f>
        <v>2.7100112282912612</v>
      </c>
      <c r="I9" s="2"/>
      <c r="J9" s="2"/>
    </row>
    <row r="10" spans="1:10" ht="31.5" x14ac:dyDescent="0.25">
      <c r="A10" s="4">
        <v>2</v>
      </c>
      <c r="B10" s="14" t="s">
        <v>187</v>
      </c>
      <c r="C10" s="14" t="s">
        <v>117</v>
      </c>
      <c r="D10" s="5">
        <f t="shared" ref="D10:D16" si="0">F10/12</f>
        <v>67727.544166666674</v>
      </c>
      <c r="E10" s="5">
        <f t="shared" ref="E10:E17" si="1">F10+G10</f>
        <v>830259.83000000007</v>
      </c>
      <c r="F10" s="5">
        <v>812730.53</v>
      </c>
      <c r="G10" s="5">
        <v>17529.3</v>
      </c>
      <c r="H10" s="57">
        <f>D10/D17</f>
        <v>1.7000807505197675</v>
      </c>
      <c r="I10" s="2"/>
      <c r="J10" s="2"/>
    </row>
    <row r="11" spans="1:10" ht="31.5" x14ac:dyDescent="0.25">
      <c r="A11" s="4">
        <v>3</v>
      </c>
      <c r="B11" s="14" t="s">
        <v>188</v>
      </c>
      <c r="C11" s="14" t="s">
        <v>16</v>
      </c>
      <c r="D11" s="5">
        <f t="shared" si="0"/>
        <v>85244.19</v>
      </c>
      <c r="E11" s="5">
        <f t="shared" si="1"/>
        <v>1029287.49</v>
      </c>
      <c r="F11" s="5">
        <v>1022930.28</v>
      </c>
      <c r="G11" s="5">
        <v>6357.21</v>
      </c>
      <c r="H11" s="57">
        <f>D11/D17</f>
        <v>2.1397794397508307</v>
      </c>
      <c r="I11" s="2"/>
      <c r="J11" s="2"/>
    </row>
    <row r="12" spans="1:10" ht="63" x14ac:dyDescent="0.25">
      <c r="A12" s="4">
        <v>4</v>
      </c>
      <c r="B12" s="14" t="s">
        <v>189</v>
      </c>
      <c r="C12" s="14" t="s">
        <v>47</v>
      </c>
      <c r="D12" s="5">
        <f t="shared" si="0"/>
        <v>73791.815833333341</v>
      </c>
      <c r="E12" s="5">
        <f t="shared" si="1"/>
        <v>892066.42</v>
      </c>
      <c r="F12" s="5">
        <v>885501.79</v>
      </c>
      <c r="G12" s="5">
        <v>6564.63</v>
      </c>
      <c r="H12" s="57">
        <f>D12/D17</f>
        <v>1.8523046596142976</v>
      </c>
      <c r="I12" s="2"/>
      <c r="J12" s="2"/>
    </row>
    <row r="13" spans="1:10" ht="15.75" x14ac:dyDescent="0.25">
      <c r="A13" s="4">
        <v>5</v>
      </c>
      <c r="B13" s="14" t="s">
        <v>190</v>
      </c>
      <c r="C13" s="14" t="s">
        <v>28</v>
      </c>
      <c r="D13" s="5">
        <f t="shared" si="0"/>
        <v>77174.94666666667</v>
      </c>
      <c r="E13" s="5">
        <f t="shared" si="1"/>
        <v>926099.36</v>
      </c>
      <c r="F13" s="5">
        <v>926099.36</v>
      </c>
      <c r="G13" s="5">
        <v>0</v>
      </c>
      <c r="H13" s="57">
        <f>D13/D17</f>
        <v>1.9372272074049885</v>
      </c>
      <c r="I13" s="2"/>
      <c r="J13" s="2"/>
    </row>
    <row r="14" spans="1:10" ht="15.75" x14ac:dyDescent="0.25">
      <c r="A14" s="4">
        <v>6</v>
      </c>
      <c r="B14" s="14" t="s">
        <v>191</v>
      </c>
      <c r="C14" s="14" t="s">
        <v>26</v>
      </c>
      <c r="D14" s="5">
        <f t="shared" si="0"/>
        <v>67160.298333333325</v>
      </c>
      <c r="E14" s="5">
        <f t="shared" si="1"/>
        <v>812200.48</v>
      </c>
      <c r="F14" s="5">
        <v>805923.58</v>
      </c>
      <c r="G14" s="5">
        <v>6276.9</v>
      </c>
      <c r="H14" s="57">
        <f>D14/D17</f>
        <v>1.6858418801468891</v>
      </c>
      <c r="I14" s="2"/>
      <c r="J14" s="2"/>
    </row>
    <row r="15" spans="1:10" ht="15.75" x14ac:dyDescent="0.25">
      <c r="A15" s="4">
        <v>7</v>
      </c>
      <c r="B15" s="42" t="s">
        <v>192</v>
      </c>
      <c r="C15" s="14" t="s">
        <v>193</v>
      </c>
      <c r="D15" s="5">
        <f t="shared" si="0"/>
        <v>26250.656666666666</v>
      </c>
      <c r="E15" s="5">
        <f t="shared" si="1"/>
        <v>319845.32</v>
      </c>
      <c r="F15" s="5">
        <v>315007.88</v>
      </c>
      <c r="G15" s="5">
        <v>4837.4399999999996</v>
      </c>
      <c r="H15" s="57"/>
      <c r="I15" s="2"/>
      <c r="J15" s="2"/>
    </row>
    <row r="16" spans="1:10" ht="15.75" x14ac:dyDescent="0.25">
      <c r="A16" s="4">
        <v>8</v>
      </c>
      <c r="B16" s="42" t="s">
        <v>194</v>
      </c>
      <c r="C16" s="43" t="s">
        <v>195</v>
      </c>
      <c r="D16" s="5">
        <f t="shared" si="0"/>
        <v>55710.203333333331</v>
      </c>
      <c r="E16" s="5">
        <f t="shared" si="1"/>
        <v>672809.04999999993</v>
      </c>
      <c r="F16" s="5">
        <v>668522.43999999994</v>
      </c>
      <c r="G16" s="5">
        <v>4286.6099999999997</v>
      </c>
      <c r="H16" s="57"/>
      <c r="I16" s="2"/>
      <c r="J16" s="2"/>
    </row>
    <row r="17" spans="1:10" x14ac:dyDescent="0.25">
      <c r="A17" s="4">
        <v>9</v>
      </c>
      <c r="B17" s="122" t="s">
        <v>30</v>
      </c>
      <c r="C17" s="123"/>
      <c r="D17" s="5">
        <f>F17/12/131.3</f>
        <v>39837.839553186081</v>
      </c>
      <c r="E17" s="5">
        <f t="shared" si="1"/>
        <v>63206557.890000001</v>
      </c>
      <c r="F17" s="5">
        <v>62768500</v>
      </c>
      <c r="G17" s="5">
        <v>438057.89</v>
      </c>
      <c r="H17" s="4">
        <v>1.76</v>
      </c>
      <c r="I17" s="2"/>
      <c r="J17" s="2"/>
    </row>
    <row r="18" spans="1:10" x14ac:dyDescent="0.25">
      <c r="A18" s="2"/>
      <c r="B18" s="2"/>
      <c r="C18" s="2"/>
      <c r="D18" s="2"/>
      <c r="E18" s="8"/>
      <c r="F18" s="8"/>
      <c r="G18" s="8"/>
      <c r="H18" s="2"/>
      <c r="I18" s="2"/>
      <c r="J18" s="2"/>
    </row>
    <row r="19" spans="1:10" x14ac:dyDescent="0.25">
      <c r="A19" s="107" t="s">
        <v>31</v>
      </c>
      <c r="B19" s="107"/>
      <c r="C19" s="107"/>
      <c r="D19" s="107"/>
      <c r="E19" s="107"/>
      <c r="F19" s="107"/>
      <c r="G19" s="107"/>
      <c r="H19" s="107"/>
      <c r="I19" s="107"/>
      <c r="J19" s="107"/>
    </row>
    <row r="20" spans="1:10" x14ac:dyDescent="0.25">
      <c r="A20" s="2"/>
      <c r="B20" s="2" t="s">
        <v>196</v>
      </c>
      <c r="C20" s="2"/>
      <c r="D20" s="2"/>
      <c r="E20" s="2"/>
      <c r="F20" s="8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8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 t="s">
        <v>50</v>
      </c>
      <c r="C23" s="9"/>
      <c r="D23" s="10"/>
      <c r="E23" s="33" t="s">
        <v>197</v>
      </c>
      <c r="F23" s="9"/>
      <c r="G23" s="2"/>
      <c r="H23" s="2"/>
      <c r="I23" s="2"/>
      <c r="J23" s="2"/>
    </row>
    <row r="24" spans="1:10" x14ac:dyDescent="0.25">
      <c r="A24" s="2"/>
      <c r="B24" s="2"/>
      <c r="C24" s="12" t="s">
        <v>33</v>
      </c>
      <c r="D24" s="2"/>
      <c r="E24" s="108" t="s">
        <v>34</v>
      </c>
      <c r="F24" s="108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 t="s">
        <v>28</v>
      </c>
      <c r="C26" s="9"/>
      <c r="D26" s="10"/>
      <c r="E26" s="33" t="s">
        <v>198</v>
      </c>
      <c r="F26" s="9"/>
      <c r="G26" s="2"/>
      <c r="H26" s="2"/>
      <c r="I26" s="2"/>
      <c r="J26" s="2"/>
    </row>
    <row r="27" spans="1:10" x14ac:dyDescent="0.25">
      <c r="A27" s="2"/>
      <c r="B27" s="2"/>
      <c r="C27" s="12" t="s">
        <v>33</v>
      </c>
      <c r="D27" s="2"/>
      <c r="E27" s="108" t="s">
        <v>34</v>
      </c>
      <c r="F27" s="108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</sheetData>
  <mergeCells count="14">
    <mergeCell ref="B17:C17"/>
    <mergeCell ref="A19:J19"/>
    <mergeCell ref="E24:F24"/>
    <mergeCell ref="E27:F27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F15" sqref="F15"/>
    </sheetView>
  </sheetViews>
  <sheetFormatPr defaultRowHeight="15" x14ac:dyDescent="0.25"/>
  <cols>
    <col min="1" max="1" width="9.140625" style="1"/>
    <col min="2" max="2" width="33.5703125" style="1" customWidth="1"/>
    <col min="3" max="3" width="30.28515625" style="1" customWidth="1"/>
    <col min="4" max="4" width="23.42578125" style="1" customWidth="1"/>
    <col min="5" max="5" width="31.28515625" style="1" customWidth="1"/>
    <col min="6" max="6" width="25.28515625" style="1" customWidth="1"/>
    <col min="7" max="7" width="22.5703125" style="1" customWidth="1"/>
    <col min="8" max="8" width="30.5703125" style="1" customWidth="1"/>
    <col min="9" max="16384" width="9.140625" style="1"/>
  </cols>
  <sheetData>
    <row r="1" spans="1:10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2"/>
      <c r="J1" s="2"/>
    </row>
    <row r="2" spans="1:10" x14ac:dyDescent="0.25">
      <c r="A2" s="2"/>
      <c r="B2" s="2"/>
      <c r="C2" s="2"/>
      <c r="D2" s="2"/>
      <c r="E2" s="13" t="s">
        <v>1</v>
      </c>
      <c r="F2" s="2"/>
      <c r="G2" s="2"/>
      <c r="H2" s="2"/>
      <c r="I2" s="2"/>
      <c r="J2" s="2"/>
    </row>
    <row r="3" spans="1:10" x14ac:dyDescent="0.25">
      <c r="A3" s="110" t="s">
        <v>199</v>
      </c>
      <c r="B3" s="110"/>
      <c r="C3" s="110"/>
      <c r="D3" s="110"/>
      <c r="E3" s="110"/>
      <c r="F3" s="110"/>
      <c r="G3" s="110"/>
      <c r="H3" s="110"/>
      <c r="I3" s="2"/>
      <c r="J3" s="2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2"/>
      <c r="J6" s="2"/>
    </row>
    <row r="7" spans="1:10" ht="57" x14ac:dyDescent="0.25">
      <c r="A7" s="112"/>
      <c r="B7" s="113"/>
      <c r="C7" s="113"/>
      <c r="D7" s="113"/>
      <c r="E7" s="113"/>
      <c r="F7" s="34" t="s">
        <v>11</v>
      </c>
      <c r="G7" s="34" t="s">
        <v>12</v>
      </c>
      <c r="H7" s="113"/>
      <c r="I7" s="2"/>
      <c r="J7" s="2"/>
    </row>
    <row r="8" spans="1:10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2"/>
      <c r="J8" s="2"/>
    </row>
    <row r="9" spans="1:10" ht="30" x14ac:dyDescent="0.25">
      <c r="A9" s="4">
        <v>1</v>
      </c>
      <c r="B9" s="5" t="s">
        <v>200</v>
      </c>
      <c r="C9" s="6" t="s">
        <v>14</v>
      </c>
      <c r="D9" s="5">
        <f>F9/12</f>
        <v>115039.47333333333</v>
      </c>
      <c r="E9" s="5">
        <f>F9+G9</f>
        <v>1791174.26</v>
      </c>
      <c r="F9" s="5">
        <v>1380473.68</v>
      </c>
      <c r="G9" s="5">
        <v>410700.58</v>
      </c>
      <c r="H9" s="7">
        <f>D9/D20</f>
        <v>3.2532291561233513</v>
      </c>
      <c r="I9" s="2"/>
      <c r="J9" s="2"/>
    </row>
    <row r="10" spans="1:10" x14ac:dyDescent="0.25">
      <c r="A10" s="4">
        <v>2</v>
      </c>
      <c r="B10" s="5" t="s">
        <v>201</v>
      </c>
      <c r="C10" s="6" t="s">
        <v>26</v>
      </c>
      <c r="D10" s="5">
        <f t="shared" ref="D10:D19" si="0">F10/12</f>
        <v>83805.34166666666</v>
      </c>
      <c r="E10" s="5">
        <f t="shared" ref="E10:E19" si="1">F10+G10</f>
        <v>1142329.33</v>
      </c>
      <c r="F10" s="5">
        <v>1005664.1</v>
      </c>
      <c r="G10" s="5">
        <v>136665.23000000001</v>
      </c>
      <c r="H10" s="7">
        <f>D10/D20</f>
        <v>2.3699515744382391</v>
      </c>
      <c r="I10" s="2"/>
      <c r="J10" s="2"/>
    </row>
    <row r="11" spans="1:10" ht="30" x14ac:dyDescent="0.25">
      <c r="A11" s="4">
        <v>3</v>
      </c>
      <c r="B11" s="5" t="s">
        <v>202</v>
      </c>
      <c r="C11" s="6" t="s">
        <v>140</v>
      </c>
      <c r="D11" s="5">
        <f t="shared" si="0"/>
        <v>80980.47</v>
      </c>
      <c r="E11" s="5">
        <f t="shared" si="1"/>
        <v>1252450.81</v>
      </c>
      <c r="F11" s="5">
        <v>971765.64</v>
      </c>
      <c r="G11" s="5">
        <v>280685.17</v>
      </c>
      <c r="H11" s="7">
        <f>D11/D20</f>
        <v>2.2900663437254876</v>
      </c>
      <c r="I11" s="2"/>
      <c r="J11" s="2"/>
    </row>
    <row r="12" spans="1:10" ht="30" x14ac:dyDescent="0.25">
      <c r="A12" s="4">
        <v>4</v>
      </c>
      <c r="B12" s="5" t="s">
        <v>203</v>
      </c>
      <c r="C12" s="6" t="s">
        <v>204</v>
      </c>
      <c r="D12" s="5">
        <f t="shared" si="0"/>
        <v>98083.781666666662</v>
      </c>
      <c r="E12" s="5">
        <f t="shared" si="1"/>
        <v>1495364.8099999998</v>
      </c>
      <c r="F12" s="5">
        <v>1177005.3799999999</v>
      </c>
      <c r="G12" s="5">
        <v>318359.43</v>
      </c>
      <c r="H12" s="7">
        <f>D12/D20</f>
        <v>2.7737350408086336</v>
      </c>
      <c r="I12" s="2"/>
      <c r="J12" s="2"/>
    </row>
    <row r="13" spans="1:10" ht="45" x14ac:dyDescent="0.25">
      <c r="A13" s="4">
        <v>5</v>
      </c>
      <c r="B13" s="5" t="s">
        <v>205</v>
      </c>
      <c r="C13" s="6" t="s">
        <v>206</v>
      </c>
      <c r="D13" s="5">
        <f t="shared" si="0"/>
        <v>91079.550833333342</v>
      </c>
      <c r="E13" s="5">
        <f t="shared" si="1"/>
        <v>1547757.77</v>
      </c>
      <c r="F13" s="5">
        <v>1092954.6100000001</v>
      </c>
      <c r="G13" s="5">
        <v>454803.16</v>
      </c>
      <c r="H13" s="7">
        <f>D13/D20</f>
        <v>2.5756606989938606</v>
      </c>
      <c r="I13" s="2"/>
      <c r="J13" s="2"/>
    </row>
    <row r="14" spans="1:10" ht="30" x14ac:dyDescent="0.25">
      <c r="A14" s="4">
        <v>6</v>
      </c>
      <c r="B14" s="5" t="s">
        <v>207</v>
      </c>
      <c r="C14" s="6" t="s">
        <v>208</v>
      </c>
      <c r="D14" s="5">
        <f t="shared" si="0"/>
        <v>83794.429166666669</v>
      </c>
      <c r="E14" s="5">
        <f t="shared" si="1"/>
        <v>1205591.1400000001</v>
      </c>
      <c r="F14" s="5">
        <v>1005533.15</v>
      </c>
      <c r="G14" s="5">
        <v>200057.99</v>
      </c>
      <c r="H14" s="7">
        <f>D14/D20</f>
        <v>2.3696429772051544</v>
      </c>
      <c r="I14" s="2"/>
      <c r="J14" s="2"/>
    </row>
    <row r="15" spans="1:10" ht="45" x14ac:dyDescent="0.25">
      <c r="A15" s="4">
        <v>7</v>
      </c>
      <c r="B15" s="5" t="s">
        <v>209</v>
      </c>
      <c r="C15" s="6" t="s">
        <v>210</v>
      </c>
      <c r="D15" s="5">
        <f t="shared" si="0"/>
        <v>101410.22666666667</v>
      </c>
      <c r="E15" s="5">
        <f t="shared" si="1"/>
        <v>1558706.15</v>
      </c>
      <c r="F15" s="5">
        <v>1216922.72</v>
      </c>
      <c r="G15" s="5">
        <v>341783.43</v>
      </c>
      <c r="H15" s="7">
        <f>D15/D20</f>
        <v>2.8678043854142397</v>
      </c>
      <c r="I15" s="2"/>
      <c r="J15" s="2"/>
    </row>
    <row r="16" spans="1:10" ht="30" x14ac:dyDescent="0.25">
      <c r="A16" s="4">
        <v>8</v>
      </c>
      <c r="B16" s="5" t="s">
        <v>211</v>
      </c>
      <c r="C16" s="6" t="s">
        <v>16</v>
      </c>
      <c r="D16" s="5">
        <f t="shared" si="0"/>
        <v>108991.87333333334</v>
      </c>
      <c r="E16" s="5">
        <f t="shared" si="1"/>
        <v>1553981.92</v>
      </c>
      <c r="F16" s="5">
        <v>1307902.48</v>
      </c>
      <c r="G16" s="5">
        <v>246079.44</v>
      </c>
      <c r="H16" s="7">
        <f>D16/D20</f>
        <v>3.0822076095663329</v>
      </c>
      <c r="I16" s="2"/>
      <c r="J16" s="2"/>
    </row>
    <row r="17" spans="1:10" ht="45" x14ac:dyDescent="0.25">
      <c r="A17" s="4">
        <v>9</v>
      </c>
      <c r="B17" s="5" t="s">
        <v>212</v>
      </c>
      <c r="C17" s="6" t="s">
        <v>22</v>
      </c>
      <c r="D17" s="5">
        <f t="shared" si="0"/>
        <v>77371.393333333326</v>
      </c>
      <c r="E17" s="5">
        <f t="shared" si="1"/>
        <v>1247689</v>
      </c>
      <c r="F17" s="5">
        <v>928456.72</v>
      </c>
      <c r="G17" s="5">
        <v>319232.28000000003</v>
      </c>
      <c r="H17" s="7">
        <f>D17/D20</f>
        <v>2.1880043896980741</v>
      </c>
      <c r="I17" s="2"/>
      <c r="J17" s="2"/>
    </row>
    <row r="18" spans="1:10" ht="30" x14ac:dyDescent="0.25">
      <c r="A18" s="4">
        <v>10</v>
      </c>
      <c r="B18" s="5" t="s">
        <v>213</v>
      </c>
      <c r="C18" s="6" t="s">
        <v>20</v>
      </c>
      <c r="D18" s="5">
        <f t="shared" si="0"/>
        <v>80337.90416666666</v>
      </c>
      <c r="E18" s="5">
        <f t="shared" si="1"/>
        <v>1192878.6399999999</v>
      </c>
      <c r="F18" s="5">
        <v>964054.85</v>
      </c>
      <c r="G18" s="5">
        <v>228823.79</v>
      </c>
      <c r="H18" s="7">
        <f>D18/D20</f>
        <v>2.2718950687434507</v>
      </c>
      <c r="I18" s="2"/>
      <c r="J18" s="2"/>
    </row>
    <row r="19" spans="1:10" x14ac:dyDescent="0.25">
      <c r="A19" s="4">
        <v>11</v>
      </c>
      <c r="B19" s="5" t="s">
        <v>214</v>
      </c>
      <c r="C19" s="6" t="s">
        <v>28</v>
      </c>
      <c r="D19" s="5">
        <f t="shared" si="0"/>
        <v>93118.518333333326</v>
      </c>
      <c r="E19" s="5">
        <f t="shared" si="1"/>
        <v>1291827.1499999999</v>
      </c>
      <c r="F19" s="5">
        <v>1117422.22</v>
      </c>
      <c r="G19" s="5">
        <v>174404.93</v>
      </c>
      <c r="H19" s="7">
        <f>D19/D20</f>
        <v>2.6333211552458442</v>
      </c>
      <c r="I19" s="2"/>
      <c r="J19" s="2"/>
    </row>
    <row r="20" spans="1:10" x14ac:dyDescent="0.25">
      <c r="A20" s="6"/>
      <c r="B20" s="105" t="s">
        <v>30</v>
      </c>
      <c r="C20" s="106"/>
      <c r="D20" s="5">
        <f>F20/12/1219.3</f>
        <v>35361.626191257281</v>
      </c>
      <c r="E20" s="5">
        <f>F20+G20</f>
        <v>631067477.21000004</v>
      </c>
      <c r="F20" s="5">
        <v>517397169.77999997</v>
      </c>
      <c r="G20" s="5">
        <v>113670307.43000001</v>
      </c>
      <c r="H20" s="4"/>
      <c r="I20" s="2"/>
      <c r="J20" s="2"/>
    </row>
    <row r="21" spans="1:10" x14ac:dyDescent="0.25">
      <c r="A21" s="2"/>
      <c r="B21" s="2"/>
      <c r="C21" s="2"/>
      <c r="D21" s="2"/>
      <c r="E21" s="8"/>
      <c r="F21" s="8"/>
      <c r="G21" s="8"/>
      <c r="H21" s="2"/>
      <c r="I21" s="2"/>
      <c r="J21" s="2"/>
    </row>
    <row r="22" spans="1:10" x14ac:dyDescent="0.25">
      <c r="A22" s="107" t="s">
        <v>31</v>
      </c>
      <c r="B22" s="107"/>
      <c r="C22" s="107"/>
      <c r="D22" s="107"/>
      <c r="E22" s="107"/>
      <c r="F22" s="107"/>
      <c r="G22" s="107"/>
      <c r="H22" s="107"/>
      <c r="I22" s="107"/>
      <c r="J22" s="107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 t="s">
        <v>50</v>
      </c>
      <c r="C26" s="9"/>
      <c r="D26" s="2"/>
      <c r="E26" s="110" t="s">
        <v>215</v>
      </c>
      <c r="F26" s="124"/>
      <c r="G26" s="2"/>
      <c r="H26" s="2"/>
      <c r="I26" s="2"/>
      <c r="J26" s="2"/>
    </row>
    <row r="27" spans="1:10" x14ac:dyDescent="0.25">
      <c r="A27" s="2"/>
      <c r="B27" s="2"/>
      <c r="C27" s="12" t="s">
        <v>33</v>
      </c>
      <c r="D27" s="2"/>
      <c r="E27" s="108" t="s">
        <v>34</v>
      </c>
      <c r="F27" s="108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 t="s">
        <v>28</v>
      </c>
      <c r="C29" s="9"/>
      <c r="D29" s="2"/>
      <c r="E29" s="110" t="s">
        <v>216</v>
      </c>
      <c r="F29" s="124"/>
      <c r="G29" s="2"/>
      <c r="H29" s="2"/>
      <c r="I29" s="2"/>
      <c r="J29" s="2"/>
    </row>
    <row r="30" spans="1:10" x14ac:dyDescent="0.25">
      <c r="A30" s="2"/>
      <c r="B30" s="2"/>
      <c r="C30" s="12" t="s">
        <v>33</v>
      </c>
      <c r="D30" s="2"/>
      <c r="E30" s="108" t="s">
        <v>34</v>
      </c>
      <c r="F30" s="108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mergeCells count="16">
    <mergeCell ref="E30:F30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20:C20"/>
    <mergeCell ref="A22:J22"/>
    <mergeCell ref="E26:F26"/>
    <mergeCell ref="E27:F27"/>
    <mergeCell ref="E29:F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C39" sqref="C39"/>
    </sheetView>
  </sheetViews>
  <sheetFormatPr defaultRowHeight="15" x14ac:dyDescent="0.25"/>
  <cols>
    <col min="1" max="1" width="9.140625" style="1"/>
    <col min="2" max="2" width="33.5703125" style="1" customWidth="1"/>
    <col min="3" max="3" width="30.28515625" style="1" customWidth="1"/>
    <col min="4" max="4" width="23.42578125" style="1" customWidth="1"/>
    <col min="5" max="5" width="31.28515625" style="1" customWidth="1"/>
    <col min="6" max="6" width="25.28515625" style="1" customWidth="1"/>
    <col min="7" max="7" width="22.5703125" style="1" customWidth="1"/>
    <col min="8" max="8" width="30.5703125" style="1" customWidth="1"/>
    <col min="9" max="16384" width="9.140625" style="1"/>
  </cols>
  <sheetData>
    <row r="1" spans="1:10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2"/>
      <c r="J1" s="2"/>
    </row>
    <row r="2" spans="1:10" x14ac:dyDescent="0.25">
      <c r="A2" s="2"/>
      <c r="B2" s="2"/>
      <c r="C2" s="2"/>
      <c r="D2" s="2"/>
      <c r="E2" s="13" t="s">
        <v>1</v>
      </c>
      <c r="F2" s="2"/>
      <c r="G2" s="2"/>
      <c r="H2" s="2"/>
      <c r="I2" s="2"/>
      <c r="J2" s="2"/>
    </row>
    <row r="3" spans="1:10" x14ac:dyDescent="0.25">
      <c r="A3" s="110" t="s">
        <v>36</v>
      </c>
      <c r="B3" s="110"/>
      <c r="C3" s="110"/>
      <c r="D3" s="110"/>
      <c r="E3" s="110"/>
      <c r="F3" s="110"/>
      <c r="G3" s="110"/>
      <c r="H3" s="110"/>
      <c r="I3" s="2"/>
      <c r="J3" s="2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2"/>
      <c r="J6" s="2"/>
    </row>
    <row r="7" spans="1:10" ht="57" x14ac:dyDescent="0.25">
      <c r="A7" s="112"/>
      <c r="B7" s="113"/>
      <c r="C7" s="113"/>
      <c r="D7" s="113"/>
      <c r="E7" s="113"/>
      <c r="F7" s="3" t="s">
        <v>11</v>
      </c>
      <c r="G7" s="3" t="s">
        <v>12</v>
      </c>
      <c r="H7" s="113"/>
      <c r="I7" s="2"/>
      <c r="J7" s="2"/>
    </row>
    <row r="8" spans="1:10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2"/>
      <c r="J8" s="2"/>
    </row>
    <row r="9" spans="1:10" ht="30" x14ac:dyDescent="0.25">
      <c r="A9" s="16">
        <v>1</v>
      </c>
      <c r="B9" s="18" t="s">
        <v>37</v>
      </c>
      <c r="C9" s="19" t="s">
        <v>38</v>
      </c>
      <c r="D9" s="20">
        <f>F9/12</f>
        <v>129358.13583333332</v>
      </c>
      <c r="E9" s="20">
        <f>F9+G9</f>
        <v>1663618.67</v>
      </c>
      <c r="F9" s="20">
        <v>1552297.63</v>
      </c>
      <c r="G9" s="20">
        <v>111321.04</v>
      </c>
      <c r="H9" s="21">
        <f>D9/D16</f>
        <v>3.2399066133246457</v>
      </c>
      <c r="I9" s="2"/>
      <c r="J9" s="2"/>
    </row>
    <row r="10" spans="1:10" ht="30" x14ac:dyDescent="0.25">
      <c r="A10" s="16">
        <f>1+A9</f>
        <v>2</v>
      </c>
      <c r="B10" s="18" t="s">
        <v>39</v>
      </c>
      <c r="C10" s="19" t="s">
        <v>16</v>
      </c>
      <c r="D10" s="20">
        <f>F10/12</f>
        <v>116415.1125</v>
      </c>
      <c r="E10" s="20">
        <f t="shared" ref="E10:E16" si="0">F10+G10</f>
        <v>1561884.37</v>
      </c>
      <c r="F10" s="20">
        <v>1396981.35</v>
      </c>
      <c r="G10" s="20">
        <v>164903.01999999999</v>
      </c>
      <c r="H10" s="21">
        <f>D10/D16</f>
        <v>2.9157353764407876</v>
      </c>
      <c r="I10" s="2"/>
      <c r="J10" s="2"/>
    </row>
    <row r="11" spans="1:10" ht="30" x14ac:dyDescent="0.25">
      <c r="A11" s="16">
        <f t="shared" ref="A11:A16" si="1">1+A10</f>
        <v>3</v>
      </c>
      <c r="B11" s="18" t="s">
        <v>40</v>
      </c>
      <c r="C11" s="19" t="s">
        <v>41</v>
      </c>
      <c r="D11" s="20">
        <f t="shared" ref="D11:D15" si="2">F11/12</f>
        <v>96346.340000000011</v>
      </c>
      <c r="E11" s="20">
        <f t="shared" si="0"/>
        <v>1363573.5</v>
      </c>
      <c r="F11" s="20">
        <v>1156156.08</v>
      </c>
      <c r="G11" s="20">
        <v>207417.42</v>
      </c>
      <c r="H11" s="21">
        <f>D11/D16</f>
        <v>2.4130924748158633</v>
      </c>
      <c r="I11" s="2"/>
      <c r="J11" s="2"/>
    </row>
    <row r="12" spans="1:10" ht="30" x14ac:dyDescent="0.25">
      <c r="A12" s="16">
        <f t="shared" si="1"/>
        <v>4</v>
      </c>
      <c r="B12" s="18" t="s">
        <v>42</v>
      </c>
      <c r="C12" s="19" t="s">
        <v>43</v>
      </c>
      <c r="D12" s="20">
        <f t="shared" si="2"/>
        <v>74065.257499999992</v>
      </c>
      <c r="E12" s="20">
        <f t="shared" si="0"/>
        <v>974725.77</v>
      </c>
      <c r="F12" s="20">
        <v>888783.09</v>
      </c>
      <c r="G12" s="20">
        <v>85942.68</v>
      </c>
      <c r="H12" s="21">
        <f>D12/D16</f>
        <v>1.8550400100154207</v>
      </c>
      <c r="I12" s="2"/>
      <c r="J12" s="2"/>
    </row>
    <row r="13" spans="1:10" ht="30" x14ac:dyDescent="0.25">
      <c r="A13" s="16">
        <f t="shared" si="1"/>
        <v>5</v>
      </c>
      <c r="B13" s="18" t="s">
        <v>44</v>
      </c>
      <c r="C13" s="19" t="s">
        <v>45</v>
      </c>
      <c r="D13" s="20">
        <f t="shared" si="2"/>
        <v>78936.146666666667</v>
      </c>
      <c r="E13" s="20">
        <f t="shared" si="0"/>
        <v>1027657.2</v>
      </c>
      <c r="F13" s="20">
        <v>947233.76</v>
      </c>
      <c r="G13" s="20">
        <v>80423.44</v>
      </c>
      <c r="H13" s="21">
        <f>D13/D16</f>
        <v>1.9770364033786296</v>
      </c>
      <c r="I13" s="2"/>
      <c r="J13" s="2"/>
    </row>
    <row r="14" spans="1:10" ht="30" x14ac:dyDescent="0.25">
      <c r="A14" s="16">
        <f t="shared" si="1"/>
        <v>6</v>
      </c>
      <c r="B14" s="18" t="s">
        <v>46</v>
      </c>
      <c r="C14" s="19" t="s">
        <v>47</v>
      </c>
      <c r="D14" s="20">
        <f t="shared" si="2"/>
        <v>108632.41083333333</v>
      </c>
      <c r="E14" s="20">
        <f t="shared" si="0"/>
        <v>1423716.95</v>
      </c>
      <c r="F14" s="20">
        <v>1303588.93</v>
      </c>
      <c r="G14" s="20">
        <v>120128.02</v>
      </c>
      <c r="H14" s="21">
        <f>D14/D16</f>
        <v>2.7208096654530092</v>
      </c>
      <c r="I14" s="2"/>
      <c r="J14" s="2"/>
    </row>
    <row r="15" spans="1:10" x14ac:dyDescent="0.25">
      <c r="A15" s="16">
        <f t="shared" si="1"/>
        <v>7</v>
      </c>
      <c r="B15" s="18" t="s">
        <v>48</v>
      </c>
      <c r="C15" s="19" t="s">
        <v>28</v>
      </c>
      <c r="D15" s="20">
        <f t="shared" si="2"/>
        <v>120289.93583333334</v>
      </c>
      <c r="E15" s="20">
        <f t="shared" si="0"/>
        <v>1463577.93</v>
      </c>
      <c r="F15" s="20">
        <v>1443479.23</v>
      </c>
      <c r="G15" s="20">
        <v>20098.7</v>
      </c>
      <c r="H15" s="21">
        <f>D15/D16</f>
        <v>3.0127842838191849</v>
      </c>
      <c r="I15" s="2"/>
      <c r="J15" s="2"/>
    </row>
    <row r="16" spans="1:10" x14ac:dyDescent="0.25">
      <c r="A16" s="16">
        <f t="shared" si="1"/>
        <v>8</v>
      </c>
      <c r="B16" s="115" t="s">
        <v>30</v>
      </c>
      <c r="C16" s="116"/>
      <c r="D16" s="20">
        <f>F16/12/390.1</f>
        <v>39926.501369307014</v>
      </c>
      <c r="E16" s="20">
        <f t="shared" si="0"/>
        <v>203420980.92000002</v>
      </c>
      <c r="F16" s="20">
        <v>186903938.21000001</v>
      </c>
      <c r="G16" s="20">
        <v>16517042.710000001</v>
      </c>
      <c r="H16" s="16" t="s">
        <v>49</v>
      </c>
      <c r="I16" s="2"/>
      <c r="J16" s="2"/>
    </row>
    <row r="17" spans="1:10" x14ac:dyDescent="0.25">
      <c r="A17" s="2"/>
      <c r="B17" s="2"/>
      <c r="C17" s="2"/>
      <c r="D17" s="2"/>
      <c r="E17" s="8"/>
      <c r="F17" s="8"/>
      <c r="G17" s="8"/>
      <c r="H17" s="2"/>
      <c r="I17" s="2"/>
      <c r="J17" s="2"/>
    </row>
    <row r="18" spans="1:10" x14ac:dyDescent="0.25">
      <c r="A18" s="107" t="s">
        <v>31</v>
      </c>
      <c r="B18" s="107"/>
      <c r="C18" s="107"/>
      <c r="D18" s="107"/>
      <c r="E18" s="107"/>
      <c r="F18" s="107"/>
      <c r="G18" s="107"/>
      <c r="H18" s="107"/>
      <c r="I18" s="107"/>
      <c r="J18" s="107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 t="s">
        <v>50</v>
      </c>
      <c r="C22" s="9"/>
      <c r="D22" s="10"/>
      <c r="E22" s="110" t="s">
        <v>51</v>
      </c>
      <c r="F22" s="110"/>
      <c r="G22" s="2"/>
      <c r="H22" s="2"/>
      <c r="I22" s="2"/>
      <c r="J22" s="2"/>
    </row>
    <row r="23" spans="1:10" x14ac:dyDescent="0.25">
      <c r="A23" s="2"/>
      <c r="B23" s="2"/>
      <c r="C23" s="12" t="s">
        <v>33</v>
      </c>
      <c r="D23" s="2"/>
      <c r="E23" s="108" t="s">
        <v>34</v>
      </c>
      <c r="F23" s="108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 t="s">
        <v>28</v>
      </c>
      <c r="C25" s="9"/>
      <c r="D25" s="10"/>
      <c r="E25" s="110" t="s">
        <v>52</v>
      </c>
      <c r="F25" s="110"/>
      <c r="G25" s="2"/>
      <c r="H25" s="2"/>
      <c r="I25" s="2"/>
      <c r="J25" s="2"/>
    </row>
    <row r="26" spans="1:10" x14ac:dyDescent="0.25">
      <c r="A26" s="2"/>
      <c r="B26" s="2"/>
      <c r="C26" s="12" t="s">
        <v>33</v>
      </c>
      <c r="D26" s="2"/>
      <c r="E26" s="108" t="s">
        <v>34</v>
      </c>
      <c r="F26" s="108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</sheetData>
  <mergeCells count="16">
    <mergeCell ref="E26:F26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6:C16"/>
    <mergeCell ref="A18:J18"/>
    <mergeCell ref="E22:F22"/>
    <mergeCell ref="E23:F23"/>
    <mergeCell ref="E25:F2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B13" sqref="B13:C13"/>
    </sheetView>
  </sheetViews>
  <sheetFormatPr defaultRowHeight="15" x14ac:dyDescent="0.25"/>
  <cols>
    <col min="1" max="1" width="9.140625" style="45"/>
    <col min="2" max="2" width="33.5703125" style="45" customWidth="1"/>
    <col min="3" max="3" width="30.28515625" style="45" customWidth="1"/>
    <col min="4" max="4" width="23.42578125" style="45" customWidth="1"/>
    <col min="5" max="5" width="31.28515625" style="45" customWidth="1"/>
    <col min="6" max="6" width="25.28515625" style="45" customWidth="1"/>
    <col min="7" max="7" width="22.5703125" style="45" customWidth="1"/>
    <col min="8" max="8" width="30.5703125" style="45" customWidth="1"/>
    <col min="9" max="16384" width="9.140625" style="45"/>
  </cols>
  <sheetData>
    <row r="1" spans="1:10" ht="18.75" customHeight="1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44"/>
      <c r="J1" s="44"/>
    </row>
    <row r="2" spans="1:10" x14ac:dyDescent="0.25">
      <c r="A2" s="44"/>
      <c r="B2" s="44"/>
      <c r="C2" s="44"/>
      <c r="D2" s="44"/>
      <c r="E2" s="46" t="s">
        <v>1</v>
      </c>
      <c r="F2" s="44"/>
      <c r="G2" s="44"/>
      <c r="H2" s="44"/>
      <c r="I2" s="44"/>
      <c r="J2" s="44"/>
    </row>
    <row r="3" spans="1:10" x14ac:dyDescent="0.25">
      <c r="A3" s="126" t="s">
        <v>217</v>
      </c>
      <c r="B3" s="126"/>
      <c r="C3" s="126"/>
      <c r="D3" s="126"/>
      <c r="E3" s="126"/>
      <c r="F3" s="126"/>
      <c r="G3" s="126"/>
      <c r="H3" s="126"/>
      <c r="I3" s="44"/>
      <c r="J3" s="44"/>
    </row>
    <row r="4" spans="1:10" x14ac:dyDescent="0.25">
      <c r="A4" s="108" t="s">
        <v>3</v>
      </c>
      <c r="B4" s="108"/>
      <c r="C4" s="108"/>
      <c r="D4" s="108"/>
      <c r="E4" s="108"/>
      <c r="F4" s="108"/>
      <c r="G4" s="108"/>
      <c r="H4" s="108"/>
      <c r="I4" s="44"/>
      <c r="J4" s="44"/>
    </row>
    <row r="5" spans="1:10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44"/>
      <c r="J6" s="44"/>
    </row>
    <row r="7" spans="1:10" ht="57" x14ac:dyDescent="0.25">
      <c r="A7" s="112"/>
      <c r="B7" s="113"/>
      <c r="C7" s="113"/>
      <c r="D7" s="113"/>
      <c r="E7" s="113"/>
      <c r="F7" s="95" t="s">
        <v>11</v>
      </c>
      <c r="G7" s="95" t="s">
        <v>12</v>
      </c>
      <c r="H7" s="113"/>
      <c r="I7" s="44"/>
      <c r="J7" s="44"/>
    </row>
    <row r="8" spans="1:10" x14ac:dyDescent="0.25">
      <c r="A8" s="96">
        <v>1</v>
      </c>
      <c r="B8" s="96">
        <v>2</v>
      </c>
      <c r="C8" s="96">
        <v>3</v>
      </c>
      <c r="D8" s="96">
        <v>4</v>
      </c>
      <c r="E8" s="96">
        <v>5</v>
      </c>
      <c r="F8" s="96">
        <v>6</v>
      </c>
      <c r="G8" s="96">
        <v>7</v>
      </c>
      <c r="H8" s="96">
        <v>8</v>
      </c>
      <c r="I8" s="44"/>
      <c r="J8" s="44"/>
    </row>
    <row r="9" spans="1:10" x14ac:dyDescent="0.25">
      <c r="A9" s="96">
        <v>1</v>
      </c>
      <c r="B9" s="18" t="s">
        <v>351</v>
      </c>
      <c r="C9" s="19" t="s">
        <v>77</v>
      </c>
      <c r="D9" s="20">
        <f>F9/12</f>
        <v>136438.64499999999</v>
      </c>
      <c r="E9" s="20">
        <f>F9+G9</f>
        <v>1637263.74</v>
      </c>
      <c r="F9" s="20">
        <v>1637263.74</v>
      </c>
      <c r="G9" s="18"/>
      <c r="H9" s="21">
        <f>D9/$D$13</f>
        <v>4.2235015861785952</v>
      </c>
      <c r="I9" s="44"/>
      <c r="J9" s="44"/>
    </row>
    <row r="10" spans="1:10" ht="30" x14ac:dyDescent="0.25">
      <c r="A10" s="96">
        <v>2</v>
      </c>
      <c r="B10" s="18" t="s">
        <v>352</v>
      </c>
      <c r="C10" s="19" t="s">
        <v>155</v>
      </c>
      <c r="D10" s="20">
        <f t="shared" ref="D10:D12" si="0">F10/12</f>
        <v>100753.9875</v>
      </c>
      <c r="E10" s="20">
        <f t="shared" ref="E10:E11" si="1">F10+G10</f>
        <v>1209047.8500000001</v>
      </c>
      <c r="F10" s="20">
        <v>1209047.8500000001</v>
      </c>
      <c r="G10" s="18"/>
      <c r="H10" s="21">
        <f t="shared" ref="H10:H12" si="2">D10/$D$13</f>
        <v>3.1188716805276719</v>
      </c>
      <c r="I10" s="44"/>
      <c r="J10" s="44"/>
    </row>
    <row r="11" spans="1:10" ht="45" x14ac:dyDescent="0.25">
      <c r="A11" s="96">
        <v>3</v>
      </c>
      <c r="B11" s="18" t="s">
        <v>353</v>
      </c>
      <c r="C11" s="19" t="s">
        <v>219</v>
      </c>
      <c r="D11" s="20">
        <f t="shared" si="0"/>
        <v>104425.2975</v>
      </c>
      <c r="E11" s="20">
        <f t="shared" si="1"/>
        <v>1253103.57</v>
      </c>
      <c r="F11" s="20">
        <v>1253103.57</v>
      </c>
      <c r="G11" s="18"/>
      <c r="H11" s="21">
        <f t="shared" si="2"/>
        <v>3.2325182475128051</v>
      </c>
      <c r="I11" s="44"/>
      <c r="J11" s="44"/>
    </row>
    <row r="12" spans="1:10" x14ac:dyDescent="0.25">
      <c r="A12" s="96">
        <v>4</v>
      </c>
      <c r="B12" s="18" t="s">
        <v>220</v>
      </c>
      <c r="C12" s="19" t="s">
        <v>28</v>
      </c>
      <c r="D12" s="20">
        <f t="shared" si="0"/>
        <v>95287.332500000004</v>
      </c>
      <c r="E12" s="20">
        <f>F12+G12</f>
        <v>1143447.99</v>
      </c>
      <c r="F12" s="20">
        <v>1143447.99</v>
      </c>
      <c r="G12" s="18"/>
      <c r="H12" s="21">
        <f t="shared" si="2"/>
        <v>2.9496496389016271</v>
      </c>
      <c r="I12" s="44"/>
      <c r="J12" s="44"/>
    </row>
    <row r="13" spans="1:10" x14ac:dyDescent="0.25">
      <c r="A13" s="19"/>
      <c r="B13" s="115" t="s">
        <v>30</v>
      </c>
      <c r="C13" s="116"/>
      <c r="D13" s="20">
        <f>F13/12/64.3</f>
        <v>32304.627384655261</v>
      </c>
      <c r="E13" s="20">
        <f>F13+G13</f>
        <v>24930250.489999998</v>
      </c>
      <c r="F13" s="20">
        <v>24926250.489999998</v>
      </c>
      <c r="G13" s="20">
        <v>4000</v>
      </c>
      <c r="H13" s="21"/>
      <c r="I13" s="44"/>
      <c r="J13" s="44"/>
    </row>
    <row r="14" spans="1:10" x14ac:dyDescent="0.25">
      <c r="A14" s="44"/>
      <c r="B14" s="44"/>
      <c r="C14" s="44"/>
      <c r="D14" s="44"/>
      <c r="E14" s="47"/>
      <c r="F14" s="47"/>
      <c r="G14" s="47"/>
      <c r="H14" s="44"/>
      <c r="I14" s="44"/>
      <c r="J14" s="44"/>
    </row>
    <row r="15" spans="1:10" x14ac:dyDescent="0.25">
      <c r="A15" s="127" t="s">
        <v>31</v>
      </c>
      <c r="B15" s="127"/>
      <c r="C15" s="127"/>
      <c r="D15" s="127"/>
      <c r="E15" s="127"/>
      <c r="F15" s="127"/>
      <c r="G15" s="127"/>
      <c r="H15" s="127"/>
      <c r="I15" s="127"/>
      <c r="J15" s="127"/>
    </row>
    <row r="16" spans="1:10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</row>
    <row r="17" spans="1:10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</row>
    <row r="18" spans="1:10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</row>
    <row r="19" spans="1:10" x14ac:dyDescent="0.25">
      <c r="A19" s="44"/>
      <c r="B19" s="44" t="s">
        <v>14</v>
      </c>
      <c r="C19" s="48"/>
      <c r="D19" s="49"/>
      <c r="E19" s="126" t="s">
        <v>218</v>
      </c>
      <c r="F19" s="126"/>
      <c r="G19" s="44"/>
      <c r="H19" s="44"/>
      <c r="I19" s="44"/>
      <c r="J19" s="44"/>
    </row>
    <row r="20" spans="1:10" x14ac:dyDescent="0.25">
      <c r="A20" s="44"/>
      <c r="B20" s="44"/>
      <c r="C20" s="50" t="s">
        <v>33</v>
      </c>
      <c r="D20" s="44"/>
      <c r="E20" s="108" t="s">
        <v>34</v>
      </c>
      <c r="F20" s="108"/>
      <c r="G20" s="44"/>
      <c r="H20" s="44"/>
      <c r="I20" s="44"/>
      <c r="J20" s="44"/>
    </row>
    <row r="21" spans="1:10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</row>
    <row r="22" spans="1:10" x14ac:dyDescent="0.25">
      <c r="A22" s="44"/>
      <c r="B22" s="44" t="s">
        <v>28</v>
      </c>
      <c r="C22" s="48"/>
      <c r="D22" s="49"/>
      <c r="E22" s="126" t="s">
        <v>220</v>
      </c>
      <c r="F22" s="126"/>
      <c r="G22" s="44"/>
      <c r="H22" s="44"/>
      <c r="I22" s="44"/>
      <c r="J22" s="44"/>
    </row>
    <row r="23" spans="1:10" x14ac:dyDescent="0.25">
      <c r="A23" s="44"/>
      <c r="B23" s="44"/>
      <c r="C23" s="50" t="s">
        <v>33</v>
      </c>
      <c r="D23" s="44"/>
      <c r="E23" s="108" t="s">
        <v>34</v>
      </c>
      <c r="F23" s="108"/>
      <c r="G23" s="44"/>
      <c r="H23" s="44"/>
      <c r="I23" s="44"/>
      <c r="J23" s="44"/>
    </row>
    <row r="24" spans="1:10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</row>
  </sheetData>
  <mergeCells count="16">
    <mergeCell ref="E23:F23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3:C13"/>
    <mergeCell ref="A15:J15"/>
    <mergeCell ref="E19:F19"/>
    <mergeCell ref="E20:F20"/>
    <mergeCell ref="E22:F2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C13" sqref="C13"/>
    </sheetView>
  </sheetViews>
  <sheetFormatPr defaultRowHeight="15" x14ac:dyDescent="0.25"/>
  <cols>
    <col min="1" max="1" width="9.140625" style="1"/>
    <col min="2" max="2" width="33.5703125" style="1" customWidth="1"/>
    <col min="3" max="3" width="30.28515625" style="1" customWidth="1"/>
    <col min="4" max="4" width="23.42578125" style="1" customWidth="1"/>
    <col min="5" max="5" width="31.28515625" style="1" customWidth="1"/>
    <col min="6" max="6" width="25.28515625" style="1" customWidth="1"/>
    <col min="7" max="7" width="22.5703125" style="1" customWidth="1"/>
    <col min="8" max="8" width="30.5703125" style="1" customWidth="1"/>
    <col min="9" max="16384" width="9.140625" style="1"/>
  </cols>
  <sheetData>
    <row r="1" spans="1:10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2"/>
      <c r="J1" s="2"/>
    </row>
    <row r="2" spans="1:10" x14ac:dyDescent="0.25">
      <c r="A2" s="2"/>
      <c r="B2" s="2"/>
      <c r="C2" s="2"/>
      <c r="D2" s="2"/>
      <c r="E2" s="13" t="s">
        <v>1</v>
      </c>
      <c r="F2" s="2"/>
      <c r="G2" s="2"/>
      <c r="H2" s="2"/>
      <c r="I2" s="2"/>
      <c r="J2" s="2"/>
    </row>
    <row r="3" spans="1:10" x14ac:dyDescent="0.25">
      <c r="A3" s="110" t="s">
        <v>221</v>
      </c>
      <c r="B3" s="110"/>
      <c r="C3" s="110"/>
      <c r="D3" s="110"/>
      <c r="E3" s="110"/>
      <c r="F3" s="110"/>
      <c r="G3" s="110"/>
      <c r="H3" s="110"/>
      <c r="I3" s="2"/>
      <c r="J3" s="2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2"/>
      <c r="J6" s="2"/>
    </row>
    <row r="7" spans="1:10" ht="57" x14ac:dyDescent="0.25">
      <c r="A7" s="112"/>
      <c r="B7" s="113"/>
      <c r="C7" s="113"/>
      <c r="D7" s="113"/>
      <c r="E7" s="113"/>
      <c r="F7" s="34" t="s">
        <v>11</v>
      </c>
      <c r="G7" s="34" t="s">
        <v>12</v>
      </c>
      <c r="H7" s="113"/>
      <c r="I7" s="2"/>
      <c r="J7" s="2"/>
    </row>
    <row r="8" spans="1:10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2"/>
      <c r="J8" s="2"/>
    </row>
    <row r="9" spans="1:10" x14ac:dyDescent="0.25">
      <c r="A9" s="4">
        <v>1</v>
      </c>
      <c r="B9" s="51" t="s">
        <v>222</v>
      </c>
      <c r="C9" s="6" t="s">
        <v>77</v>
      </c>
      <c r="D9" s="5">
        <v>126724.66</v>
      </c>
      <c r="E9" s="5">
        <f>F9+G9</f>
        <v>1179933.9300000002</v>
      </c>
      <c r="F9" s="5">
        <v>633623.28</v>
      </c>
      <c r="G9" s="5">
        <v>546310.65</v>
      </c>
      <c r="H9" s="7">
        <f>D9/D12</f>
        <v>2.837184466628039</v>
      </c>
      <c r="I9" s="2"/>
      <c r="J9" s="2"/>
    </row>
    <row r="10" spans="1:10" x14ac:dyDescent="0.25">
      <c r="A10" s="4">
        <v>2</v>
      </c>
      <c r="B10" s="51" t="s">
        <v>223</v>
      </c>
      <c r="C10" s="6" t="s">
        <v>14</v>
      </c>
      <c r="D10" s="5">
        <v>99508.88</v>
      </c>
      <c r="E10" s="5">
        <f>F10+G10</f>
        <v>833936.64999999991</v>
      </c>
      <c r="F10" s="5">
        <v>696799.33</v>
      </c>
      <c r="G10" s="5">
        <v>137137.32</v>
      </c>
      <c r="H10" s="7">
        <f>D10/D12</f>
        <v>2.2278619538419244</v>
      </c>
      <c r="I10" s="2"/>
      <c r="J10" s="2"/>
    </row>
    <row r="11" spans="1:10" x14ac:dyDescent="0.25">
      <c r="A11" s="4">
        <v>3</v>
      </c>
      <c r="B11" s="5" t="s">
        <v>224</v>
      </c>
      <c r="C11" s="6" t="s">
        <v>28</v>
      </c>
      <c r="D11" s="5">
        <v>83671.09</v>
      </c>
      <c r="E11" s="5">
        <f>F11+G11</f>
        <v>1078878.67</v>
      </c>
      <c r="F11" s="5">
        <v>1004053.03</v>
      </c>
      <c r="G11" s="5">
        <v>74825.64</v>
      </c>
      <c r="H11" s="7">
        <f>D11/D12</f>
        <v>1.8732764156071646</v>
      </c>
      <c r="I11" s="2"/>
      <c r="J11" s="2"/>
    </row>
    <row r="12" spans="1:10" x14ac:dyDescent="0.25">
      <c r="A12" s="6"/>
      <c r="B12" s="105" t="s">
        <v>30</v>
      </c>
      <c r="C12" s="106"/>
      <c r="D12" s="5">
        <v>44665.64</v>
      </c>
      <c r="E12" s="5">
        <f>F12+G12</f>
        <v>52432933.810000002</v>
      </c>
      <c r="F12" s="5">
        <v>51562011.140000001</v>
      </c>
      <c r="G12" s="5">
        <v>870922.67</v>
      </c>
      <c r="H12" s="4"/>
      <c r="I12" s="2"/>
      <c r="J12" s="2"/>
    </row>
    <row r="13" spans="1:10" x14ac:dyDescent="0.25">
      <c r="A13" s="2"/>
      <c r="B13" s="2"/>
      <c r="C13" s="2"/>
      <c r="D13" s="2"/>
      <c r="E13" s="8"/>
      <c r="F13" s="8"/>
      <c r="G13" s="8"/>
      <c r="H13" s="2"/>
      <c r="I13" s="2"/>
      <c r="J13" s="2"/>
    </row>
    <row r="14" spans="1:10" x14ac:dyDescent="0.25">
      <c r="A14" s="107" t="s">
        <v>31</v>
      </c>
      <c r="B14" s="107"/>
      <c r="C14" s="107"/>
      <c r="D14" s="107"/>
      <c r="E14" s="107"/>
      <c r="F14" s="107"/>
      <c r="G14" s="107"/>
      <c r="H14" s="107"/>
      <c r="I14" s="107"/>
      <c r="J14" s="107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 t="s">
        <v>50</v>
      </c>
      <c r="C18" s="9"/>
      <c r="D18" s="10"/>
      <c r="E18" s="33" t="s">
        <v>223</v>
      </c>
      <c r="F18" s="9"/>
      <c r="G18" s="2"/>
      <c r="H18" s="2"/>
      <c r="I18" s="2"/>
      <c r="J18" s="2"/>
    </row>
    <row r="19" spans="1:10" x14ac:dyDescent="0.25">
      <c r="A19" s="2"/>
      <c r="B19" s="2"/>
      <c r="C19" s="12" t="s">
        <v>33</v>
      </c>
      <c r="D19" s="2"/>
      <c r="E19" s="108" t="s">
        <v>34</v>
      </c>
      <c r="F19" s="108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 t="s">
        <v>28</v>
      </c>
      <c r="C21" s="9"/>
      <c r="D21" s="10"/>
      <c r="E21" s="33" t="s">
        <v>224</v>
      </c>
      <c r="F21" s="9"/>
      <c r="G21" s="2"/>
      <c r="H21" s="2"/>
      <c r="I21" s="2"/>
      <c r="J21" s="2"/>
    </row>
    <row r="22" spans="1:10" x14ac:dyDescent="0.25">
      <c r="A22" s="2"/>
      <c r="B22" s="2"/>
      <c r="C22" s="12" t="s">
        <v>33</v>
      </c>
      <c r="D22" s="2"/>
      <c r="E22" s="108" t="s">
        <v>34</v>
      </c>
      <c r="F22" s="108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</sheetData>
  <mergeCells count="14">
    <mergeCell ref="B12:C12"/>
    <mergeCell ref="A14:J14"/>
    <mergeCell ref="E19:F19"/>
    <mergeCell ref="E22:F22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C22" sqref="C22"/>
    </sheetView>
  </sheetViews>
  <sheetFormatPr defaultRowHeight="15" x14ac:dyDescent="0.25"/>
  <cols>
    <col min="1" max="1" width="9.140625" style="52"/>
    <col min="2" max="2" width="33.5703125" style="52" customWidth="1"/>
    <col min="3" max="3" width="30.28515625" style="52" customWidth="1"/>
    <col min="4" max="4" width="23.42578125" style="52" customWidth="1"/>
    <col min="5" max="5" width="31.28515625" style="52" customWidth="1"/>
    <col min="6" max="6" width="25.28515625" style="72" customWidth="1"/>
    <col min="7" max="7" width="22.5703125" style="72" customWidth="1"/>
    <col min="8" max="8" width="30.5703125" style="52" customWidth="1"/>
    <col min="9" max="9" width="12.28515625" style="65" customWidth="1"/>
    <col min="10" max="16384" width="9.140625" style="52"/>
  </cols>
  <sheetData>
    <row r="1" spans="1:10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64"/>
      <c r="J1" s="53"/>
    </row>
    <row r="2" spans="1:10" x14ac:dyDescent="0.25">
      <c r="A2" s="53"/>
      <c r="B2" s="53"/>
      <c r="C2" s="53"/>
      <c r="D2" s="53"/>
      <c r="E2" s="63" t="s">
        <v>1</v>
      </c>
      <c r="F2" s="66"/>
      <c r="G2" s="66"/>
      <c r="H2" s="53"/>
      <c r="I2" s="64"/>
      <c r="J2" s="53"/>
    </row>
    <row r="3" spans="1:10" x14ac:dyDescent="0.25">
      <c r="A3" s="121" t="s">
        <v>225</v>
      </c>
      <c r="B3" s="121"/>
      <c r="C3" s="121"/>
      <c r="D3" s="121"/>
      <c r="E3" s="121"/>
      <c r="F3" s="121"/>
      <c r="G3" s="121"/>
      <c r="H3" s="121"/>
      <c r="I3" s="64"/>
      <c r="J3" s="53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64"/>
      <c r="J4" s="53"/>
    </row>
    <row r="5" spans="1:10" x14ac:dyDescent="0.25">
      <c r="A5" s="53"/>
      <c r="B5" s="53"/>
      <c r="C5" s="53"/>
      <c r="D5" s="53"/>
      <c r="E5" s="53"/>
      <c r="F5" s="66"/>
      <c r="G5" s="66"/>
      <c r="H5" s="53"/>
      <c r="I5" s="64"/>
      <c r="J5" s="53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226</v>
      </c>
      <c r="E6" s="113" t="s">
        <v>8</v>
      </c>
      <c r="F6" s="130" t="s">
        <v>9</v>
      </c>
      <c r="G6" s="130"/>
      <c r="H6" s="113" t="s">
        <v>10</v>
      </c>
      <c r="I6" s="64"/>
      <c r="J6" s="53"/>
    </row>
    <row r="7" spans="1:10" ht="57" x14ac:dyDescent="0.25">
      <c r="A7" s="112"/>
      <c r="B7" s="113"/>
      <c r="C7" s="113"/>
      <c r="D7" s="113"/>
      <c r="E7" s="113"/>
      <c r="F7" s="67" t="s">
        <v>11</v>
      </c>
      <c r="G7" s="67" t="s">
        <v>12</v>
      </c>
      <c r="H7" s="113"/>
      <c r="I7" s="64"/>
      <c r="J7" s="53"/>
    </row>
    <row r="8" spans="1:10" x14ac:dyDescent="0.25">
      <c r="A8" s="54">
        <v>1</v>
      </c>
      <c r="B8" s="54">
        <v>2</v>
      </c>
      <c r="C8" s="54">
        <v>3</v>
      </c>
      <c r="D8" s="54">
        <v>4</v>
      </c>
      <c r="E8" s="54">
        <v>5</v>
      </c>
      <c r="F8" s="68">
        <v>6</v>
      </c>
      <c r="G8" s="68">
        <v>7</v>
      </c>
      <c r="H8" s="54">
        <v>8</v>
      </c>
      <c r="I8" s="64"/>
      <c r="J8" s="53"/>
    </row>
    <row r="9" spans="1:10" ht="30" x14ac:dyDescent="0.25">
      <c r="A9" s="54">
        <v>1</v>
      </c>
      <c r="B9" s="55" t="s">
        <v>354</v>
      </c>
      <c r="C9" s="56" t="s">
        <v>38</v>
      </c>
      <c r="D9" s="55">
        <f>F9/12</f>
        <v>105832.2025</v>
      </c>
      <c r="E9" s="55">
        <f>F9+G9</f>
        <v>1692647.42</v>
      </c>
      <c r="F9" s="69">
        <v>1269986.43</v>
      </c>
      <c r="G9" s="69">
        <v>422660.99</v>
      </c>
      <c r="H9" s="57">
        <f>D9/$D$14</f>
        <v>2.9787415491134444</v>
      </c>
      <c r="I9" s="64"/>
      <c r="J9" s="53"/>
    </row>
    <row r="10" spans="1:10" ht="30" x14ac:dyDescent="0.25">
      <c r="A10" s="54">
        <v>2</v>
      </c>
      <c r="B10" s="55" t="s">
        <v>355</v>
      </c>
      <c r="C10" s="56" t="s">
        <v>16</v>
      </c>
      <c r="D10" s="55">
        <f>F10/3</f>
        <v>90352.276666666672</v>
      </c>
      <c r="E10" s="55">
        <f t="shared" ref="E10:E14" si="0">F10+G10</f>
        <v>398204.42000000004</v>
      </c>
      <c r="F10" s="69">
        <v>271056.83</v>
      </c>
      <c r="G10" s="69">
        <v>127147.59</v>
      </c>
      <c r="H10" s="57">
        <f t="shared" ref="H10:H13" si="1">D10/$D$14</f>
        <v>2.5430452566079138</v>
      </c>
      <c r="I10" s="64"/>
      <c r="J10" s="53"/>
    </row>
    <row r="11" spans="1:10" ht="30" x14ac:dyDescent="0.25">
      <c r="A11" s="54">
        <v>3</v>
      </c>
      <c r="B11" s="55" t="s">
        <v>358</v>
      </c>
      <c r="C11" s="56" t="s">
        <v>204</v>
      </c>
      <c r="D11" s="55">
        <f>F11/12</f>
        <v>84703.675833333327</v>
      </c>
      <c r="E11" s="55">
        <f t="shared" si="0"/>
        <v>1163100.21</v>
      </c>
      <c r="F11" s="69">
        <v>1016444.11</v>
      </c>
      <c r="G11" s="69">
        <v>146656.1</v>
      </c>
      <c r="H11" s="57">
        <f t="shared" si="1"/>
        <v>2.384060357880073</v>
      </c>
      <c r="I11" s="64"/>
      <c r="J11" s="53"/>
    </row>
    <row r="12" spans="1:10" ht="30" x14ac:dyDescent="0.25">
      <c r="A12" s="54">
        <v>4</v>
      </c>
      <c r="B12" s="55" t="s">
        <v>356</v>
      </c>
      <c r="C12" s="56" t="s">
        <v>228</v>
      </c>
      <c r="D12" s="55">
        <f t="shared" ref="D12:D13" si="2">F12/12</f>
        <v>70079.625</v>
      </c>
      <c r="E12" s="55">
        <f t="shared" si="0"/>
        <v>951640.19</v>
      </c>
      <c r="F12" s="69">
        <v>840955.5</v>
      </c>
      <c r="G12" s="69">
        <v>110684.69</v>
      </c>
      <c r="H12" s="57">
        <f t="shared" si="1"/>
        <v>1.9724534291326807</v>
      </c>
      <c r="I12" s="64"/>
      <c r="J12" s="53"/>
    </row>
    <row r="13" spans="1:10" x14ac:dyDescent="0.25">
      <c r="A13" s="54">
        <v>5</v>
      </c>
      <c r="B13" s="55" t="s">
        <v>357</v>
      </c>
      <c r="C13" s="56" t="s">
        <v>28</v>
      </c>
      <c r="D13" s="55">
        <f t="shared" si="2"/>
        <v>82620.53</v>
      </c>
      <c r="E13" s="55">
        <f t="shared" si="0"/>
        <v>1084305.76</v>
      </c>
      <c r="F13" s="69">
        <v>991446.36</v>
      </c>
      <c r="G13" s="69">
        <v>92859.4</v>
      </c>
      <c r="H13" s="57">
        <f t="shared" si="1"/>
        <v>2.3254283640253428</v>
      </c>
      <c r="I13" s="64"/>
      <c r="J13" s="53"/>
    </row>
    <row r="14" spans="1:10" x14ac:dyDescent="0.25">
      <c r="A14" s="56"/>
      <c r="B14" s="128" t="s">
        <v>30</v>
      </c>
      <c r="C14" s="129"/>
      <c r="D14" s="55">
        <v>35529.165842366747</v>
      </c>
      <c r="E14" s="55">
        <f t="shared" si="0"/>
        <v>75757200</v>
      </c>
      <c r="F14" s="69">
        <v>62929258.539999999</v>
      </c>
      <c r="G14" s="69">
        <v>12827941.460000001</v>
      </c>
      <c r="H14" s="57"/>
      <c r="I14" s="64"/>
      <c r="J14" s="53"/>
    </row>
    <row r="15" spans="1:10" x14ac:dyDescent="0.25">
      <c r="A15" s="53"/>
      <c r="B15" s="53"/>
      <c r="C15" s="53"/>
      <c r="D15" s="53"/>
      <c r="E15" s="58"/>
      <c r="F15" s="70"/>
      <c r="G15" s="70"/>
      <c r="H15" s="53"/>
      <c r="I15" s="64"/>
      <c r="J15" s="53"/>
    </row>
    <row r="16" spans="1:10" x14ac:dyDescent="0.25">
      <c r="A16" s="107" t="s">
        <v>31</v>
      </c>
      <c r="B16" s="107"/>
      <c r="C16" s="107"/>
      <c r="D16" s="107"/>
      <c r="E16" s="107"/>
      <c r="F16" s="107"/>
      <c r="G16" s="107"/>
      <c r="H16" s="107"/>
      <c r="I16" s="107"/>
      <c r="J16" s="107"/>
    </row>
    <row r="17" spans="1:10" x14ac:dyDescent="0.25">
      <c r="A17" s="53"/>
      <c r="B17" s="53"/>
      <c r="C17" s="53"/>
      <c r="D17" s="53"/>
      <c r="E17" s="53"/>
      <c r="F17" s="66"/>
      <c r="G17" s="66"/>
      <c r="H17" s="53"/>
      <c r="I17" s="64"/>
      <c r="J17" s="53"/>
    </row>
    <row r="18" spans="1:10" x14ac:dyDescent="0.25">
      <c r="A18" s="53"/>
      <c r="B18" s="53"/>
      <c r="C18" s="53"/>
      <c r="D18" s="53"/>
      <c r="E18" s="53"/>
      <c r="F18" s="66"/>
      <c r="G18" s="66"/>
      <c r="H18" s="53"/>
      <c r="I18" s="64"/>
      <c r="J18" s="53"/>
    </row>
    <row r="19" spans="1:10" x14ac:dyDescent="0.25">
      <c r="A19" s="53"/>
      <c r="B19" s="53"/>
      <c r="C19" s="53"/>
      <c r="D19" s="53"/>
      <c r="E19" s="53"/>
      <c r="F19" s="66"/>
      <c r="G19" s="66"/>
      <c r="H19" s="53"/>
      <c r="I19" s="64"/>
      <c r="J19" s="53"/>
    </row>
    <row r="20" spans="1:10" x14ac:dyDescent="0.25">
      <c r="A20" s="53"/>
      <c r="B20" s="53" t="s">
        <v>50</v>
      </c>
      <c r="C20" s="59"/>
      <c r="D20" s="60"/>
      <c r="E20" s="61" t="s">
        <v>227</v>
      </c>
      <c r="F20" s="71"/>
      <c r="G20" s="66"/>
      <c r="H20" s="53"/>
      <c r="I20" s="64"/>
      <c r="J20" s="53"/>
    </row>
    <row r="21" spans="1:10" x14ac:dyDescent="0.25">
      <c r="A21" s="53"/>
      <c r="B21" s="53"/>
      <c r="C21" s="62" t="s">
        <v>33</v>
      </c>
      <c r="D21" s="53"/>
      <c r="E21" s="108" t="s">
        <v>34</v>
      </c>
      <c r="F21" s="108"/>
      <c r="G21" s="66"/>
      <c r="H21" s="53"/>
      <c r="I21" s="64"/>
      <c r="J21" s="53"/>
    </row>
    <row r="22" spans="1:10" x14ac:dyDescent="0.25">
      <c r="A22" s="53"/>
      <c r="B22" s="53"/>
      <c r="C22" s="53"/>
      <c r="D22" s="53"/>
      <c r="E22" s="53"/>
      <c r="F22" s="66"/>
      <c r="G22" s="66"/>
      <c r="H22" s="53"/>
      <c r="I22" s="64"/>
      <c r="J22" s="53"/>
    </row>
    <row r="23" spans="1:10" x14ac:dyDescent="0.25">
      <c r="A23" s="53"/>
      <c r="B23" s="53" t="s">
        <v>28</v>
      </c>
      <c r="C23" s="59"/>
      <c r="D23" s="60"/>
      <c r="E23" s="61" t="s">
        <v>229</v>
      </c>
      <c r="F23" s="71"/>
      <c r="G23" s="66"/>
      <c r="H23" s="53"/>
      <c r="I23" s="64"/>
      <c r="J23" s="53"/>
    </row>
    <row r="24" spans="1:10" x14ac:dyDescent="0.25">
      <c r="A24" s="53"/>
      <c r="B24" s="53"/>
      <c r="C24" s="62" t="s">
        <v>33</v>
      </c>
      <c r="D24" s="53"/>
      <c r="E24" s="108" t="s">
        <v>34</v>
      </c>
      <c r="F24" s="108"/>
      <c r="G24" s="66"/>
      <c r="H24" s="53"/>
      <c r="I24" s="64"/>
      <c r="J24" s="53"/>
    </row>
    <row r="25" spans="1:10" x14ac:dyDescent="0.25">
      <c r="A25" s="53"/>
      <c r="B25" s="53"/>
      <c r="C25" s="53"/>
      <c r="D25" s="53"/>
      <c r="E25" s="53"/>
      <c r="F25" s="66"/>
      <c r="G25" s="66"/>
      <c r="H25" s="53"/>
      <c r="I25" s="64"/>
      <c r="J25" s="53"/>
    </row>
  </sheetData>
  <mergeCells count="14">
    <mergeCell ref="B14:C14"/>
    <mergeCell ref="A16:J16"/>
    <mergeCell ref="E21:F21"/>
    <mergeCell ref="E24:F24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B15" sqref="B15"/>
    </sheetView>
  </sheetViews>
  <sheetFormatPr defaultRowHeight="15" x14ac:dyDescent="0.25"/>
  <cols>
    <col min="1" max="1" width="5.85546875" style="52" customWidth="1"/>
    <col min="2" max="2" width="26.140625" style="52" customWidth="1"/>
    <col min="3" max="3" width="26" style="52" customWidth="1"/>
    <col min="4" max="4" width="17.7109375" style="52" customWidth="1"/>
    <col min="5" max="5" width="14.28515625" style="52" customWidth="1"/>
    <col min="6" max="6" width="16.28515625" style="52" customWidth="1"/>
    <col min="7" max="7" width="14.28515625" style="52" customWidth="1"/>
    <col min="8" max="8" width="12.7109375" style="52" customWidth="1"/>
    <col min="9" max="16384" width="9.140625" style="52"/>
  </cols>
  <sheetData>
    <row r="1" spans="1:14" ht="18.75" customHeight="1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x14ac:dyDescent="0.25">
      <c r="A2" s="53"/>
      <c r="B2" s="53"/>
      <c r="C2" s="53"/>
      <c r="D2" s="53"/>
      <c r="E2" s="117" t="s">
        <v>1</v>
      </c>
      <c r="F2" s="117"/>
      <c r="G2" s="53"/>
      <c r="H2" s="53"/>
      <c r="I2" s="53"/>
      <c r="J2" s="53"/>
    </row>
    <row r="3" spans="1:14" ht="15" customHeight="1" x14ac:dyDescent="0.25">
      <c r="A3" s="131" t="s">
        <v>230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4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53"/>
      <c r="J4" s="53"/>
    </row>
    <row r="5" spans="1:14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</row>
    <row r="6" spans="1:14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53"/>
      <c r="J6" s="53"/>
    </row>
    <row r="7" spans="1:14" ht="114" x14ac:dyDescent="0.25">
      <c r="A7" s="112"/>
      <c r="B7" s="113"/>
      <c r="C7" s="113"/>
      <c r="D7" s="113"/>
      <c r="E7" s="113"/>
      <c r="F7" s="73" t="s">
        <v>11</v>
      </c>
      <c r="G7" s="73" t="s">
        <v>12</v>
      </c>
      <c r="H7" s="113"/>
      <c r="I7" s="53"/>
      <c r="J7" s="53"/>
    </row>
    <row r="8" spans="1:14" x14ac:dyDescent="0.25">
      <c r="A8" s="54">
        <v>1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3"/>
      <c r="J8" s="53"/>
    </row>
    <row r="9" spans="1:14" x14ac:dyDescent="0.25">
      <c r="A9" s="54">
        <v>2</v>
      </c>
      <c r="B9" s="55" t="s">
        <v>231</v>
      </c>
      <c r="C9" s="56" t="s">
        <v>77</v>
      </c>
      <c r="D9" s="35">
        <f>F9/12</f>
        <v>115095.79166666667</v>
      </c>
      <c r="E9" s="75">
        <v>1829317.37</v>
      </c>
      <c r="F9" s="76">
        <v>1381149.5</v>
      </c>
      <c r="G9" s="75">
        <v>448167.87</v>
      </c>
      <c r="H9" s="57">
        <f>D9/$D$18</f>
        <v>3.302188293778308</v>
      </c>
      <c r="I9" s="53"/>
      <c r="J9" s="53"/>
    </row>
    <row r="10" spans="1:14" ht="45" x14ac:dyDescent="0.25">
      <c r="A10" s="54">
        <v>3</v>
      </c>
      <c r="B10" s="55" t="s">
        <v>232</v>
      </c>
      <c r="C10" s="56" t="s">
        <v>16</v>
      </c>
      <c r="D10" s="35">
        <f>F10/12/0.4</f>
        <v>113158.53333333333</v>
      </c>
      <c r="E10" s="35">
        <v>846728.84</v>
      </c>
      <c r="F10" s="35">
        <v>543160.96</v>
      </c>
      <c r="G10" s="35">
        <v>303567.88</v>
      </c>
      <c r="H10" s="57">
        <f t="shared" ref="H10:H17" si="0">D10/$D$18</f>
        <v>3.2466068368221319</v>
      </c>
      <c r="I10" s="53"/>
      <c r="J10" s="53"/>
    </row>
    <row r="11" spans="1:14" ht="45" x14ac:dyDescent="0.25">
      <c r="A11" s="54">
        <v>4</v>
      </c>
      <c r="B11" s="55" t="s">
        <v>233</v>
      </c>
      <c r="C11" s="56" t="s">
        <v>16</v>
      </c>
      <c r="D11" s="35">
        <f>F11/12/0.6</f>
        <v>60221.444444444453</v>
      </c>
      <c r="E11" s="35">
        <v>504836.15</v>
      </c>
      <c r="F11" s="35">
        <v>433594.4</v>
      </c>
      <c r="G11" s="35">
        <v>71241.75</v>
      </c>
      <c r="H11" s="57">
        <f t="shared" si="0"/>
        <v>1.7278003478597954</v>
      </c>
      <c r="I11" s="53"/>
      <c r="J11" s="53"/>
    </row>
    <row r="12" spans="1:14" ht="45" x14ac:dyDescent="0.25">
      <c r="A12" s="54">
        <v>5</v>
      </c>
      <c r="B12" s="55" t="s">
        <v>234</v>
      </c>
      <c r="C12" s="56" t="s">
        <v>359</v>
      </c>
      <c r="D12" s="35">
        <f t="shared" ref="D12:D16" si="1">F12/12</f>
        <v>81187.750833333339</v>
      </c>
      <c r="E12" s="35">
        <v>1190759.1100000001</v>
      </c>
      <c r="F12" s="35">
        <v>974253.01</v>
      </c>
      <c r="G12" s="35">
        <v>216506.1</v>
      </c>
      <c r="H12" s="57">
        <f t="shared" si="0"/>
        <v>2.3293400785362346</v>
      </c>
      <c r="I12" s="53"/>
      <c r="J12" s="53"/>
    </row>
    <row r="13" spans="1:14" ht="45" x14ac:dyDescent="0.25">
      <c r="A13" s="54">
        <v>6</v>
      </c>
      <c r="B13" s="55" t="s">
        <v>235</v>
      </c>
      <c r="C13" s="56" t="s">
        <v>360</v>
      </c>
      <c r="D13" s="35">
        <f t="shared" si="1"/>
        <v>102666.99666666666</v>
      </c>
      <c r="E13" s="35">
        <v>1397755.3</v>
      </c>
      <c r="F13" s="35">
        <v>1232003.96</v>
      </c>
      <c r="G13" s="35">
        <v>165751.34</v>
      </c>
      <c r="H13" s="57">
        <f t="shared" si="0"/>
        <v>2.9455964431080912</v>
      </c>
      <c r="I13" s="53"/>
      <c r="J13" s="53"/>
    </row>
    <row r="14" spans="1:14" ht="45" x14ac:dyDescent="0.25">
      <c r="A14" s="54">
        <v>7</v>
      </c>
      <c r="B14" s="55" t="s">
        <v>236</v>
      </c>
      <c r="C14" s="56" t="s">
        <v>47</v>
      </c>
      <c r="D14" s="35">
        <f t="shared" si="1"/>
        <v>98655.271666666667</v>
      </c>
      <c r="E14" s="35">
        <v>1395878.65</v>
      </c>
      <c r="F14" s="35">
        <v>1183863.26</v>
      </c>
      <c r="G14" s="35">
        <v>212015.39</v>
      </c>
      <c r="H14" s="57">
        <f t="shared" si="0"/>
        <v>2.8304969147845513</v>
      </c>
      <c r="I14" s="53"/>
      <c r="J14" s="53"/>
    </row>
    <row r="15" spans="1:14" ht="30" x14ac:dyDescent="0.25">
      <c r="A15" s="54">
        <v>8</v>
      </c>
      <c r="B15" s="55" t="s">
        <v>237</v>
      </c>
      <c r="C15" s="56" t="s">
        <v>129</v>
      </c>
      <c r="D15" s="35">
        <f t="shared" si="1"/>
        <v>82207.616666666669</v>
      </c>
      <c r="E15" s="35">
        <v>1113959.3999999999</v>
      </c>
      <c r="F15" s="35">
        <v>986491.4</v>
      </c>
      <c r="G15" s="35">
        <v>127468</v>
      </c>
      <c r="H15" s="57">
        <f t="shared" si="0"/>
        <v>2.3586008270596155</v>
      </c>
      <c r="I15" s="53"/>
      <c r="J15" s="53"/>
    </row>
    <row r="16" spans="1:14" x14ac:dyDescent="0.25">
      <c r="A16" s="54">
        <v>9</v>
      </c>
      <c r="B16" s="55" t="s">
        <v>238</v>
      </c>
      <c r="C16" s="56" t="s">
        <v>28</v>
      </c>
      <c r="D16" s="35">
        <f t="shared" si="1"/>
        <v>92078.284999999989</v>
      </c>
      <c r="E16" s="35">
        <v>1311525.22</v>
      </c>
      <c r="F16" s="35">
        <v>1104939.42</v>
      </c>
      <c r="G16" s="35">
        <v>206585.8</v>
      </c>
      <c r="H16" s="57">
        <f t="shared" si="0"/>
        <v>2.6417980226312885</v>
      </c>
      <c r="I16" s="53"/>
      <c r="J16" s="53"/>
    </row>
    <row r="17" spans="1:10" ht="45" x14ac:dyDescent="0.25">
      <c r="A17" s="54">
        <v>10</v>
      </c>
      <c r="B17" s="77" t="s">
        <v>239</v>
      </c>
      <c r="C17" s="56" t="s">
        <v>240</v>
      </c>
      <c r="D17" s="35">
        <f>F17/0.6/12</f>
        <v>65697.72083333334</v>
      </c>
      <c r="E17" s="35">
        <v>653141.12</v>
      </c>
      <c r="F17" s="35">
        <v>473023.59</v>
      </c>
      <c r="G17" s="35">
        <v>180117.53</v>
      </c>
      <c r="H17" s="57">
        <f t="shared" si="0"/>
        <v>1.8849190011399806</v>
      </c>
      <c r="I17" s="53"/>
      <c r="J17" s="53"/>
    </row>
    <row r="18" spans="1:10" x14ac:dyDescent="0.25">
      <c r="A18" s="56"/>
      <c r="B18" s="105" t="s">
        <v>30</v>
      </c>
      <c r="C18" s="106"/>
      <c r="D18" s="35">
        <v>34854.400000000001</v>
      </c>
      <c r="E18" s="35">
        <f>F18+G18</f>
        <v>392319379.49000001</v>
      </c>
      <c r="F18" s="35">
        <v>348530104.68000001</v>
      </c>
      <c r="G18" s="35">
        <v>43789274.810000002</v>
      </c>
      <c r="H18" s="54"/>
      <c r="I18" s="53"/>
      <c r="J18" s="53"/>
    </row>
    <row r="19" spans="1:10" x14ac:dyDescent="0.25">
      <c r="A19" s="53"/>
      <c r="B19" s="53"/>
      <c r="C19" s="53"/>
      <c r="D19" s="53"/>
      <c r="E19" s="58"/>
      <c r="F19" s="58"/>
      <c r="G19" s="58"/>
      <c r="H19" s="53"/>
      <c r="I19" s="53"/>
      <c r="J19" s="53"/>
    </row>
    <row r="20" spans="1:10" x14ac:dyDescent="0.25">
      <c r="A20" s="107" t="s">
        <v>31</v>
      </c>
      <c r="B20" s="107"/>
      <c r="C20" s="107"/>
      <c r="D20" s="107"/>
      <c r="E20" s="107"/>
      <c r="F20" s="107"/>
      <c r="G20" s="107"/>
      <c r="H20" s="107"/>
      <c r="I20" s="107"/>
      <c r="J20" s="107"/>
    </row>
    <row r="21" spans="1:10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</row>
    <row r="22" spans="1:10" ht="30" x14ac:dyDescent="0.25">
      <c r="A22" s="53"/>
      <c r="B22" s="53" t="s">
        <v>50</v>
      </c>
      <c r="C22" s="59"/>
      <c r="D22" s="53"/>
      <c r="E22" s="110" t="s">
        <v>231</v>
      </c>
      <c r="F22" s="110"/>
      <c r="G22" s="53"/>
      <c r="H22" s="53"/>
      <c r="I22" s="53"/>
      <c r="J22" s="53"/>
    </row>
    <row r="23" spans="1:10" x14ac:dyDescent="0.25">
      <c r="A23" s="53"/>
      <c r="B23" s="53"/>
      <c r="C23" s="62" t="s">
        <v>33</v>
      </c>
      <c r="D23" s="53"/>
      <c r="E23" s="108" t="s">
        <v>34</v>
      </c>
      <c r="F23" s="108"/>
      <c r="G23" s="53"/>
      <c r="H23" s="53"/>
      <c r="I23" s="53"/>
      <c r="J23" s="53"/>
    </row>
    <row r="24" spans="1:10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</row>
    <row r="25" spans="1:10" x14ac:dyDescent="0.25">
      <c r="A25" s="53"/>
      <c r="B25" s="53" t="s">
        <v>28</v>
      </c>
      <c r="C25" s="59"/>
      <c r="D25" s="53"/>
      <c r="E25" s="110" t="s">
        <v>238</v>
      </c>
      <c r="F25" s="110"/>
      <c r="G25" s="53"/>
      <c r="H25" s="53"/>
      <c r="I25" s="53"/>
      <c r="J25" s="53"/>
    </row>
    <row r="26" spans="1:10" x14ac:dyDescent="0.25">
      <c r="A26" s="53"/>
      <c r="B26" s="53"/>
      <c r="C26" s="62" t="s">
        <v>33</v>
      </c>
      <c r="D26" s="53"/>
      <c r="E26" s="108" t="s">
        <v>34</v>
      </c>
      <c r="F26" s="108"/>
      <c r="G26" s="53"/>
      <c r="H26" s="53"/>
      <c r="I26" s="53"/>
      <c r="J26" s="53"/>
    </row>
    <row r="27" spans="1:10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</row>
  </sheetData>
  <mergeCells count="17">
    <mergeCell ref="E26:F26"/>
    <mergeCell ref="H6:H7"/>
    <mergeCell ref="B18:C18"/>
    <mergeCell ref="A20:J20"/>
    <mergeCell ref="E22:F22"/>
    <mergeCell ref="E23:F23"/>
    <mergeCell ref="E25:F25"/>
    <mergeCell ref="A1:N1"/>
    <mergeCell ref="E2:F2"/>
    <mergeCell ref="A3:L3"/>
    <mergeCell ref="A4:H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A19" sqref="A19:J19"/>
    </sheetView>
  </sheetViews>
  <sheetFormatPr defaultRowHeight="15" x14ac:dyDescent="0.25"/>
  <cols>
    <col min="1" max="1" width="9.140625" style="52"/>
    <col min="2" max="2" width="33.5703125" style="52" customWidth="1"/>
    <col min="3" max="3" width="30.28515625" style="52" customWidth="1"/>
    <col min="4" max="4" width="23.42578125" style="52" customWidth="1"/>
    <col min="5" max="5" width="31.28515625" style="52" customWidth="1"/>
    <col min="6" max="6" width="25.28515625" style="52" customWidth="1"/>
    <col min="7" max="7" width="22.5703125" style="52" customWidth="1"/>
    <col min="8" max="8" width="30.5703125" style="52" customWidth="1"/>
    <col min="9" max="16384" width="9.140625" style="52"/>
  </cols>
  <sheetData>
    <row r="1" spans="1:10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53"/>
      <c r="J1" s="53"/>
    </row>
    <row r="2" spans="1:10" x14ac:dyDescent="0.25">
      <c r="A2" s="53"/>
      <c r="B2" s="53"/>
      <c r="C2" s="53"/>
      <c r="D2" s="53"/>
      <c r="E2" s="63" t="s">
        <v>1</v>
      </c>
      <c r="F2" s="53"/>
      <c r="G2" s="53"/>
      <c r="H2" s="53"/>
      <c r="I2" s="53"/>
      <c r="J2" s="53"/>
    </row>
    <row r="3" spans="1:10" x14ac:dyDescent="0.25">
      <c r="A3" s="110" t="s">
        <v>241</v>
      </c>
      <c r="B3" s="110"/>
      <c r="C3" s="110"/>
      <c r="D3" s="110"/>
      <c r="E3" s="110"/>
      <c r="F3" s="110"/>
      <c r="G3" s="110"/>
      <c r="H3" s="110"/>
      <c r="I3" s="53"/>
      <c r="J3" s="53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53"/>
      <c r="J4" s="53"/>
    </row>
    <row r="5" spans="1:10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53"/>
      <c r="J6" s="53"/>
    </row>
    <row r="7" spans="1:10" ht="57" x14ac:dyDescent="0.25">
      <c r="A7" s="112"/>
      <c r="B7" s="113"/>
      <c r="C7" s="113"/>
      <c r="D7" s="113"/>
      <c r="E7" s="113"/>
      <c r="F7" s="73" t="s">
        <v>11</v>
      </c>
      <c r="G7" s="73" t="s">
        <v>12</v>
      </c>
      <c r="H7" s="113"/>
      <c r="I7" s="53"/>
      <c r="J7" s="53"/>
    </row>
    <row r="8" spans="1:10" x14ac:dyDescent="0.25">
      <c r="A8" s="54">
        <v>1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3"/>
      <c r="J8" s="53"/>
    </row>
    <row r="9" spans="1:10" x14ac:dyDescent="0.25">
      <c r="A9" s="54">
        <v>1</v>
      </c>
      <c r="B9" s="55" t="s">
        <v>242</v>
      </c>
      <c r="C9" s="56" t="s">
        <v>77</v>
      </c>
      <c r="D9" s="55">
        <f>F9/12</f>
        <v>118157.60333333333</v>
      </c>
      <c r="E9" s="55">
        <f>F9+G9</f>
        <v>1803090.44</v>
      </c>
      <c r="F9" s="55">
        <v>1417891.24</v>
      </c>
      <c r="G9" s="55">
        <v>385199.2</v>
      </c>
      <c r="H9" s="57">
        <f>D9/D17</f>
        <v>3.0769564945896941</v>
      </c>
      <c r="I9" s="53"/>
      <c r="J9" s="53"/>
    </row>
    <row r="10" spans="1:10" ht="30" x14ac:dyDescent="0.25">
      <c r="A10" s="54">
        <v>2</v>
      </c>
      <c r="B10" s="55" t="s">
        <v>243</v>
      </c>
      <c r="C10" s="56" t="s">
        <v>16</v>
      </c>
      <c r="D10" s="55">
        <f t="shared" ref="D10:D16" si="0">F10/12</f>
        <v>99171.612500000003</v>
      </c>
      <c r="E10" s="55">
        <f t="shared" ref="E10:E17" si="1">F10+G10</f>
        <v>1272494.0800000001</v>
      </c>
      <c r="F10" s="55">
        <v>1190059.3500000001</v>
      </c>
      <c r="G10" s="55">
        <v>82434.73</v>
      </c>
      <c r="H10" s="57">
        <f>D10/D17</f>
        <v>2.5825400021017764</v>
      </c>
      <c r="I10" s="53"/>
      <c r="J10" s="53"/>
    </row>
    <row r="11" spans="1:10" ht="30" x14ac:dyDescent="0.25">
      <c r="A11" s="54">
        <v>3</v>
      </c>
      <c r="B11" s="55" t="s">
        <v>244</v>
      </c>
      <c r="C11" s="56" t="s">
        <v>20</v>
      </c>
      <c r="D11" s="55">
        <f t="shared" si="0"/>
        <v>83172.944166666668</v>
      </c>
      <c r="E11" s="55">
        <f t="shared" si="1"/>
        <v>1227084.3399999999</v>
      </c>
      <c r="F11" s="55">
        <v>998075.33</v>
      </c>
      <c r="G11" s="55">
        <v>229009.01</v>
      </c>
      <c r="H11" s="57">
        <f>D11/D17</f>
        <v>2.1659167375441664</v>
      </c>
      <c r="I11" s="53"/>
      <c r="J11" s="53"/>
    </row>
    <row r="12" spans="1:10" ht="30" x14ac:dyDescent="0.25">
      <c r="A12" s="54">
        <v>4</v>
      </c>
      <c r="B12" s="55" t="s">
        <v>245</v>
      </c>
      <c r="C12" s="56" t="s">
        <v>246</v>
      </c>
      <c r="D12" s="55">
        <f t="shared" si="0"/>
        <v>105587.41083333333</v>
      </c>
      <c r="E12" s="55">
        <f t="shared" si="1"/>
        <v>1373329.24</v>
      </c>
      <c r="F12" s="55">
        <v>1267048.93</v>
      </c>
      <c r="G12" s="55">
        <v>106280.31</v>
      </c>
      <c r="H12" s="57">
        <f>D12/D17</f>
        <v>2.7496145854786596</v>
      </c>
      <c r="I12" s="53"/>
      <c r="J12" s="53"/>
    </row>
    <row r="13" spans="1:10" ht="30" x14ac:dyDescent="0.25">
      <c r="A13" s="54">
        <v>5</v>
      </c>
      <c r="B13" s="55" t="s">
        <v>247</v>
      </c>
      <c r="C13" s="56" t="s">
        <v>248</v>
      </c>
      <c r="D13" s="55">
        <f t="shared" si="0"/>
        <v>110802.33333333333</v>
      </c>
      <c r="E13" s="55">
        <f t="shared" si="1"/>
        <v>1466705.15</v>
      </c>
      <c r="F13" s="55">
        <v>1329628</v>
      </c>
      <c r="G13" s="55">
        <v>137077.15</v>
      </c>
      <c r="H13" s="57">
        <f>D13/D17</f>
        <v>2.8854170154745478</v>
      </c>
      <c r="I13" s="53"/>
      <c r="J13" s="53"/>
    </row>
    <row r="14" spans="1:10" ht="30" x14ac:dyDescent="0.25">
      <c r="A14" s="54">
        <v>6</v>
      </c>
      <c r="B14" s="55" t="s">
        <v>249</v>
      </c>
      <c r="C14" s="56" t="s">
        <v>47</v>
      </c>
      <c r="D14" s="55">
        <f t="shared" si="0"/>
        <v>120306.985</v>
      </c>
      <c r="E14" s="55">
        <f t="shared" si="1"/>
        <v>1597904.8</v>
      </c>
      <c r="F14" s="55">
        <v>1443683.82</v>
      </c>
      <c r="G14" s="55">
        <v>154220.98000000001</v>
      </c>
      <c r="H14" s="57">
        <f>D14/D17</f>
        <v>3.1329288035400085</v>
      </c>
      <c r="I14" s="53"/>
      <c r="J14" s="53"/>
    </row>
    <row r="15" spans="1:10" ht="30" x14ac:dyDescent="0.25">
      <c r="A15" s="54">
        <v>7</v>
      </c>
      <c r="B15" s="55" t="s">
        <v>250</v>
      </c>
      <c r="C15" s="56" t="s">
        <v>228</v>
      </c>
      <c r="D15" s="55">
        <f t="shared" si="0"/>
        <v>63634.890833333331</v>
      </c>
      <c r="E15" s="55">
        <f t="shared" si="1"/>
        <v>873563.47</v>
      </c>
      <c r="F15" s="55">
        <v>763618.69</v>
      </c>
      <c r="G15" s="55">
        <v>109944.78</v>
      </c>
      <c r="H15" s="57">
        <f>D15/D17</f>
        <v>1.6571239184647013</v>
      </c>
      <c r="I15" s="53"/>
      <c r="J15" s="53"/>
    </row>
    <row r="16" spans="1:10" x14ac:dyDescent="0.25">
      <c r="A16" s="54">
        <v>8</v>
      </c>
      <c r="B16" s="55" t="s">
        <v>251</v>
      </c>
      <c r="C16" s="56" t="s">
        <v>28</v>
      </c>
      <c r="D16" s="55">
        <f t="shared" si="0"/>
        <v>123785.40583333334</v>
      </c>
      <c r="E16" s="55">
        <f t="shared" si="1"/>
        <v>1646280.6900000002</v>
      </c>
      <c r="F16" s="55">
        <v>1485424.87</v>
      </c>
      <c r="G16" s="55">
        <v>160855.82</v>
      </c>
      <c r="H16" s="57">
        <f>D16/D17</f>
        <v>3.2235107827956906</v>
      </c>
      <c r="I16" s="53"/>
      <c r="J16" s="53"/>
    </row>
    <row r="17" spans="1:10" x14ac:dyDescent="0.25">
      <c r="A17" s="56"/>
      <c r="B17" s="105" t="s">
        <v>30</v>
      </c>
      <c r="C17" s="106"/>
      <c r="D17" s="55">
        <f>F17/12/397.8</f>
        <v>38400.804022121672</v>
      </c>
      <c r="E17" s="55">
        <f t="shared" si="1"/>
        <v>202590878.91000003</v>
      </c>
      <c r="F17" s="55">
        <v>183310078.08000001</v>
      </c>
      <c r="G17" s="55">
        <v>19280800.829999998</v>
      </c>
      <c r="H17" s="54"/>
      <c r="I17" s="53"/>
      <c r="J17" s="53"/>
    </row>
    <row r="18" spans="1:10" x14ac:dyDescent="0.25">
      <c r="A18" s="53"/>
      <c r="B18" s="53"/>
      <c r="C18" s="53"/>
      <c r="D18" s="53"/>
      <c r="E18" s="58"/>
      <c r="F18" s="58"/>
      <c r="G18" s="58"/>
      <c r="H18" s="53"/>
      <c r="I18" s="53"/>
      <c r="J18" s="53"/>
    </row>
    <row r="19" spans="1:10" x14ac:dyDescent="0.25">
      <c r="A19" s="107" t="s">
        <v>31</v>
      </c>
      <c r="B19" s="107"/>
      <c r="C19" s="107"/>
      <c r="D19" s="107"/>
      <c r="E19" s="107"/>
      <c r="F19" s="107"/>
      <c r="G19" s="107"/>
      <c r="H19" s="107"/>
      <c r="I19" s="107"/>
      <c r="J19" s="107"/>
    </row>
    <row r="20" spans="1:10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</row>
    <row r="21" spans="1:10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</row>
    <row r="22" spans="1:10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</row>
    <row r="23" spans="1:10" x14ac:dyDescent="0.25">
      <c r="A23" s="53"/>
      <c r="B23" s="53" t="s">
        <v>50</v>
      </c>
      <c r="C23" s="59"/>
      <c r="D23" s="60"/>
      <c r="E23" s="61" t="s">
        <v>252</v>
      </c>
      <c r="F23" s="59"/>
      <c r="G23" s="53"/>
      <c r="H23" s="53"/>
      <c r="I23" s="53"/>
      <c r="J23" s="53"/>
    </row>
    <row r="24" spans="1:10" x14ac:dyDescent="0.25">
      <c r="A24" s="53"/>
      <c r="B24" s="53"/>
      <c r="C24" s="62" t="s">
        <v>33</v>
      </c>
      <c r="D24" s="53"/>
      <c r="E24" s="108" t="s">
        <v>34</v>
      </c>
      <c r="F24" s="108"/>
      <c r="G24" s="53"/>
      <c r="H24" s="53"/>
      <c r="I24" s="53"/>
      <c r="J24" s="53"/>
    </row>
    <row r="25" spans="1:10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</row>
    <row r="26" spans="1:10" x14ac:dyDescent="0.25">
      <c r="A26" s="53"/>
      <c r="B26" s="53" t="s">
        <v>28</v>
      </c>
      <c r="C26" s="59"/>
      <c r="D26" s="60"/>
      <c r="E26" s="61" t="s">
        <v>253</v>
      </c>
      <c r="F26" s="59"/>
      <c r="G26" s="53"/>
      <c r="H26" s="53"/>
      <c r="I26" s="53"/>
      <c r="J26" s="53"/>
    </row>
    <row r="27" spans="1:10" x14ac:dyDescent="0.25">
      <c r="A27" s="53"/>
      <c r="B27" s="53"/>
      <c r="C27" s="62" t="s">
        <v>33</v>
      </c>
      <c r="D27" s="53"/>
      <c r="E27" s="108" t="s">
        <v>34</v>
      </c>
      <c r="F27" s="108"/>
      <c r="G27" s="53"/>
      <c r="H27" s="53"/>
      <c r="I27" s="53"/>
      <c r="J27" s="53"/>
    </row>
    <row r="28" spans="1:10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</row>
  </sheetData>
  <mergeCells count="14">
    <mergeCell ref="B17:C17"/>
    <mergeCell ref="A19:J19"/>
    <mergeCell ref="E24:F24"/>
    <mergeCell ref="E27:F27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C16" sqref="C16"/>
    </sheetView>
  </sheetViews>
  <sheetFormatPr defaultRowHeight="15" x14ac:dyDescent="0.25"/>
  <cols>
    <col min="1" max="1" width="9.140625" style="52"/>
    <col min="2" max="2" width="33.5703125" style="52" customWidth="1"/>
    <col min="3" max="3" width="30.28515625" style="52" customWidth="1"/>
    <col min="4" max="4" width="23.42578125" style="52" customWidth="1"/>
    <col min="5" max="5" width="31.28515625" style="52" customWidth="1"/>
    <col min="6" max="6" width="25.28515625" style="52" customWidth="1"/>
    <col min="7" max="7" width="22.5703125" style="52" customWidth="1"/>
    <col min="8" max="8" width="30.5703125" style="52" customWidth="1"/>
    <col min="9" max="9" width="25.85546875" style="52" customWidth="1"/>
    <col min="10" max="10" width="12.85546875" style="52" customWidth="1"/>
    <col min="11" max="16384" width="9.140625" style="52"/>
  </cols>
  <sheetData>
    <row r="1" spans="1:10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53"/>
      <c r="J1" s="53"/>
    </row>
    <row r="2" spans="1:10" x14ac:dyDescent="0.25">
      <c r="A2" s="53"/>
      <c r="B2" s="53"/>
      <c r="C2" s="53"/>
      <c r="D2" s="53"/>
      <c r="E2" s="63" t="s">
        <v>1</v>
      </c>
      <c r="F2" s="53"/>
      <c r="G2" s="53"/>
      <c r="H2" s="53"/>
      <c r="I2" s="53"/>
      <c r="J2" s="53"/>
    </row>
    <row r="3" spans="1:10" x14ac:dyDescent="0.25">
      <c r="A3" s="110" t="s">
        <v>254</v>
      </c>
      <c r="B3" s="110"/>
      <c r="C3" s="110"/>
      <c r="D3" s="110"/>
      <c r="E3" s="110"/>
      <c r="F3" s="110"/>
      <c r="G3" s="110"/>
      <c r="H3" s="110"/>
      <c r="I3" s="53"/>
      <c r="J3" s="53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53"/>
      <c r="J4" s="53"/>
    </row>
    <row r="5" spans="1:10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53"/>
      <c r="J6" s="53"/>
    </row>
    <row r="7" spans="1:10" ht="57" x14ac:dyDescent="0.25">
      <c r="A7" s="112"/>
      <c r="B7" s="113"/>
      <c r="C7" s="113"/>
      <c r="D7" s="113"/>
      <c r="E7" s="113"/>
      <c r="F7" s="73" t="s">
        <v>11</v>
      </c>
      <c r="G7" s="73" t="s">
        <v>12</v>
      </c>
      <c r="H7" s="113"/>
      <c r="I7" s="53"/>
      <c r="J7" s="53"/>
    </row>
    <row r="8" spans="1:10" x14ac:dyDescent="0.25">
      <c r="A8" s="54">
        <v>1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3"/>
      <c r="J8" s="53"/>
    </row>
    <row r="9" spans="1:10" ht="15.75" x14ac:dyDescent="0.25">
      <c r="A9" s="14">
        <v>1</v>
      </c>
      <c r="B9" s="14" t="s">
        <v>255</v>
      </c>
      <c r="C9" s="14" t="s">
        <v>14</v>
      </c>
      <c r="D9" s="55">
        <f>F9/12</f>
        <v>127172.545</v>
      </c>
      <c r="E9" s="55">
        <f>F9+G9</f>
        <v>1820491.22</v>
      </c>
      <c r="F9" s="55">
        <v>1526070.54</v>
      </c>
      <c r="G9" s="55">
        <f>7717.8+146165+69232.5+71305.38</f>
        <v>294420.68</v>
      </c>
      <c r="H9" s="57">
        <f>D9/D17</f>
        <v>3.1897622217575088</v>
      </c>
      <c r="I9" s="53"/>
      <c r="J9" s="58"/>
    </row>
    <row r="10" spans="1:10" ht="31.5" x14ac:dyDescent="0.25">
      <c r="A10" s="14">
        <v>2</v>
      </c>
      <c r="B10" s="14" t="s">
        <v>256</v>
      </c>
      <c r="C10" s="14" t="s">
        <v>16</v>
      </c>
      <c r="D10" s="55">
        <f t="shared" ref="D10:D16" si="0">F10/12</f>
        <v>129768.97249999999</v>
      </c>
      <c r="E10" s="55">
        <f t="shared" ref="E10:E16" si="1">F10+G10</f>
        <v>1839177.93</v>
      </c>
      <c r="F10" s="55">
        <v>1557227.67</v>
      </c>
      <c r="G10" s="55">
        <f>101139.82+27169.62+159920.1-6279.28</f>
        <v>281950.26</v>
      </c>
      <c r="H10" s="57">
        <f>D10/D17</f>
        <v>3.2548862337919635</v>
      </c>
      <c r="I10" s="53"/>
      <c r="J10" s="58"/>
    </row>
    <row r="11" spans="1:10" ht="47.25" x14ac:dyDescent="0.25">
      <c r="A11" s="14">
        <v>3</v>
      </c>
      <c r="B11" s="14" t="s">
        <v>257</v>
      </c>
      <c r="C11" s="14" t="s">
        <v>258</v>
      </c>
      <c r="D11" s="55">
        <f t="shared" si="0"/>
        <v>97193.29833333334</v>
      </c>
      <c r="E11" s="55">
        <f t="shared" si="1"/>
        <v>1527627.08</v>
      </c>
      <c r="F11" s="55">
        <v>1166319.58</v>
      </c>
      <c r="G11" s="53">
        <f>90439.96+10914.19+938.84+269139.7-17947.63+2189.41+6571.87-938.84</f>
        <v>361307.49999999994</v>
      </c>
      <c r="H11" s="57">
        <f>D11/D17</f>
        <v>2.437817936502519</v>
      </c>
      <c r="I11" s="53"/>
      <c r="J11" s="58"/>
    </row>
    <row r="12" spans="1:10" ht="31.5" x14ac:dyDescent="0.25">
      <c r="A12" s="14">
        <v>4</v>
      </c>
      <c r="B12" s="14" t="s">
        <v>259</v>
      </c>
      <c r="C12" s="14" t="s">
        <v>260</v>
      </c>
      <c r="D12" s="55">
        <f t="shared" si="0"/>
        <v>93836.396666666653</v>
      </c>
      <c r="E12" s="55">
        <f t="shared" si="1"/>
        <v>1278417.3899999997</v>
      </c>
      <c r="F12" s="55">
        <v>1126036.7599999998</v>
      </c>
      <c r="G12" s="55">
        <f>45611.3+106769.33</f>
        <v>152380.63</v>
      </c>
      <c r="H12" s="57">
        <f>D12/D17</f>
        <v>2.3536195891431246</v>
      </c>
      <c r="I12" s="53"/>
      <c r="J12" s="58"/>
    </row>
    <row r="13" spans="1:10" ht="31.5" x14ac:dyDescent="0.25">
      <c r="A13" s="14">
        <v>5</v>
      </c>
      <c r="B13" s="14" t="s">
        <v>261</v>
      </c>
      <c r="C13" s="14" t="s">
        <v>262</v>
      </c>
      <c r="D13" s="55">
        <f t="shared" si="0"/>
        <v>99651.40833333334</v>
      </c>
      <c r="E13" s="55">
        <f t="shared" si="1"/>
        <v>1394102.36</v>
      </c>
      <c r="F13" s="55">
        <v>1195816.9000000001</v>
      </c>
      <c r="G13" s="55">
        <f>94603.54+15020.55+94922.57-6261.2</f>
        <v>198285.46</v>
      </c>
      <c r="H13" s="57">
        <f>D13/D17</f>
        <v>2.4994726467619097</v>
      </c>
      <c r="I13" s="53"/>
      <c r="J13" s="58"/>
    </row>
    <row r="14" spans="1:10" ht="31.5" x14ac:dyDescent="0.25">
      <c r="A14" s="14">
        <v>6</v>
      </c>
      <c r="B14" s="14" t="s">
        <v>263</v>
      </c>
      <c r="C14" s="14" t="s">
        <v>264</v>
      </c>
      <c r="D14" s="55">
        <f>F14/12</f>
        <v>109281.86749999999</v>
      </c>
      <c r="E14" s="55">
        <f t="shared" si="1"/>
        <v>1613229.04</v>
      </c>
      <c r="F14" s="55">
        <f>1211382.41+100000</f>
        <v>1311382.4099999999</v>
      </c>
      <c r="G14" s="55">
        <f>126253.5+12687.42+102477.12+7717.8+50840+114847.41-9794.13-861.51-2320.98-100000</f>
        <v>301846.63</v>
      </c>
      <c r="H14" s="57">
        <f>D14/D17</f>
        <v>2.7410253720613178</v>
      </c>
      <c r="I14" s="53"/>
      <c r="J14" s="58"/>
    </row>
    <row r="15" spans="1:10" ht="15.75" x14ac:dyDescent="0.25">
      <c r="A15" s="14">
        <v>7</v>
      </c>
      <c r="B15" s="14" t="s">
        <v>265</v>
      </c>
      <c r="C15" s="14" t="s">
        <v>28</v>
      </c>
      <c r="D15" s="55">
        <f>F15/12</f>
        <v>114982.40749999999</v>
      </c>
      <c r="E15" s="55">
        <f t="shared" si="1"/>
        <v>1792443.0099999998</v>
      </c>
      <c r="F15" s="55">
        <f>1229788.89+150000</f>
        <v>1379788.89</v>
      </c>
      <c r="G15" s="55">
        <f>53955.07+12415.17+372870.64+7717.8+6381.17+125017.31-3604.12-831.72-11267.2-150000</f>
        <v>412654.12</v>
      </c>
      <c r="H15" s="57">
        <f>D15/D17</f>
        <v>2.884007232930875</v>
      </c>
      <c r="I15" s="53"/>
      <c r="J15" s="58"/>
    </row>
    <row r="16" spans="1:10" ht="31.5" x14ac:dyDescent="0.25">
      <c r="A16" s="14">
        <v>8</v>
      </c>
      <c r="B16" s="14" t="s">
        <v>266</v>
      </c>
      <c r="C16" s="14" t="s">
        <v>129</v>
      </c>
      <c r="D16" s="55">
        <f t="shared" si="0"/>
        <v>81526.656666666662</v>
      </c>
      <c r="E16" s="55">
        <f t="shared" si="1"/>
        <v>1257989.42</v>
      </c>
      <c r="F16" s="55">
        <v>978319.87999999989</v>
      </c>
      <c r="G16" s="55">
        <f>97880.92+9490.32+92458.2+15435.6+72841.96-6296.72-620.22-1520.52</f>
        <v>279669.54000000004</v>
      </c>
      <c r="H16" s="57">
        <f>D16/D17</f>
        <v>2.0448647111806113</v>
      </c>
      <c r="I16" s="53"/>
      <c r="J16" s="58"/>
    </row>
    <row r="17" spans="1:10" x14ac:dyDescent="0.25">
      <c r="A17" s="56"/>
      <c r="B17" s="105" t="s">
        <v>30</v>
      </c>
      <c r="C17" s="106"/>
      <c r="D17" s="55">
        <f>F17/698.9/12</f>
        <v>39868.973346210718</v>
      </c>
      <c r="E17" s="55">
        <f>F17+G17</f>
        <v>396391852.86000001</v>
      </c>
      <c r="F17" s="55">
        <v>334373105.66000003</v>
      </c>
      <c r="G17" s="55">
        <v>62018747.200000003</v>
      </c>
      <c r="H17" s="54"/>
      <c r="I17" s="53"/>
      <c r="J17" s="53"/>
    </row>
    <row r="18" spans="1:10" x14ac:dyDescent="0.25">
      <c r="A18" s="60"/>
      <c r="B18" s="74"/>
      <c r="C18" s="74"/>
      <c r="D18" s="80"/>
      <c r="E18" s="80"/>
      <c r="F18" s="80"/>
      <c r="G18" s="80"/>
      <c r="H18" s="74"/>
      <c r="I18" s="53"/>
      <c r="J18" s="53"/>
    </row>
    <row r="19" spans="1:10" x14ac:dyDescent="0.25">
      <c r="A19" s="53"/>
      <c r="B19" s="53"/>
      <c r="C19" s="53"/>
      <c r="D19" s="53"/>
      <c r="E19" s="58"/>
      <c r="F19" s="58"/>
      <c r="G19" s="58"/>
      <c r="H19" s="53"/>
      <c r="I19" s="53"/>
      <c r="J19" s="53"/>
    </row>
    <row r="20" spans="1:10" x14ac:dyDescent="0.25">
      <c r="A20" s="107" t="s">
        <v>31</v>
      </c>
      <c r="B20" s="107"/>
      <c r="C20" s="107"/>
      <c r="D20" s="107"/>
      <c r="E20" s="107"/>
      <c r="F20" s="107"/>
      <c r="G20" s="107"/>
      <c r="H20" s="107"/>
      <c r="I20" s="107"/>
      <c r="J20" s="107"/>
    </row>
    <row r="21" spans="1:10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</row>
    <row r="22" spans="1:10" x14ac:dyDescent="0.25">
      <c r="A22" s="53"/>
      <c r="B22" s="53"/>
      <c r="C22" s="53"/>
      <c r="D22" s="53"/>
      <c r="E22" s="58"/>
      <c r="F22" s="58"/>
      <c r="G22" s="58"/>
      <c r="H22" s="53"/>
      <c r="I22" s="53"/>
      <c r="J22" s="53"/>
    </row>
    <row r="23" spans="1:10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</row>
    <row r="24" spans="1:10" x14ac:dyDescent="0.25">
      <c r="A24" s="53"/>
      <c r="B24" s="53" t="s">
        <v>267</v>
      </c>
      <c r="C24" s="59"/>
      <c r="D24" s="60"/>
      <c r="E24" s="61" t="s">
        <v>268</v>
      </c>
      <c r="F24" s="59"/>
      <c r="G24" s="53"/>
      <c r="H24" s="53"/>
      <c r="I24" s="53"/>
      <c r="J24" s="53"/>
    </row>
    <row r="25" spans="1:10" x14ac:dyDescent="0.25">
      <c r="A25" s="53"/>
      <c r="B25" s="53"/>
      <c r="C25" s="62" t="s">
        <v>33</v>
      </c>
      <c r="D25" s="53"/>
      <c r="E25" s="108" t="s">
        <v>34</v>
      </c>
      <c r="F25" s="108"/>
      <c r="G25" s="53"/>
      <c r="H25" s="53"/>
      <c r="I25" s="53"/>
      <c r="J25" s="53"/>
    </row>
    <row r="26" spans="1:10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</row>
    <row r="27" spans="1:10" x14ac:dyDescent="0.25">
      <c r="A27" s="53"/>
      <c r="B27" s="53" t="s">
        <v>269</v>
      </c>
      <c r="C27" s="59"/>
      <c r="D27" s="60"/>
      <c r="E27" s="61" t="s">
        <v>270</v>
      </c>
      <c r="F27" s="59"/>
      <c r="G27" s="53"/>
      <c r="H27" s="53"/>
      <c r="I27" s="53"/>
      <c r="J27" s="53"/>
    </row>
    <row r="28" spans="1:10" x14ac:dyDescent="0.25">
      <c r="A28" s="53"/>
      <c r="B28" s="53"/>
      <c r="C28" s="62" t="s">
        <v>33</v>
      </c>
      <c r="D28" s="53"/>
      <c r="E28" s="108" t="s">
        <v>34</v>
      </c>
      <c r="F28" s="108"/>
      <c r="G28" s="53"/>
      <c r="H28" s="53"/>
      <c r="I28" s="53"/>
      <c r="J28" s="53"/>
    </row>
    <row r="29" spans="1:10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</row>
  </sheetData>
  <mergeCells count="14">
    <mergeCell ref="B17:C17"/>
    <mergeCell ref="A20:J20"/>
    <mergeCell ref="E25:F25"/>
    <mergeCell ref="E28:F28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25" sqref="F25"/>
    </sheetView>
  </sheetViews>
  <sheetFormatPr defaultRowHeight="15" x14ac:dyDescent="0.25"/>
  <cols>
    <col min="1" max="1" width="9.140625" style="52"/>
    <col min="2" max="2" width="33.5703125" style="52" customWidth="1"/>
    <col min="3" max="3" width="30.28515625" style="52" customWidth="1"/>
    <col min="4" max="4" width="23.42578125" style="52" customWidth="1"/>
    <col min="5" max="5" width="31.28515625" style="52" customWidth="1"/>
    <col min="6" max="6" width="25.28515625" style="52" customWidth="1"/>
    <col min="7" max="7" width="22.5703125" style="52" customWidth="1"/>
    <col min="8" max="8" width="30.5703125" style="52" customWidth="1"/>
    <col min="9" max="16384" width="9.140625" style="52"/>
  </cols>
  <sheetData>
    <row r="1" spans="1:10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53"/>
      <c r="J1" s="53"/>
    </row>
    <row r="2" spans="1:10" x14ac:dyDescent="0.25">
      <c r="A2" s="53"/>
      <c r="B2" s="53"/>
      <c r="C2" s="53"/>
      <c r="D2" s="53"/>
      <c r="E2" s="63" t="s">
        <v>1</v>
      </c>
      <c r="F2" s="53"/>
      <c r="G2" s="53"/>
      <c r="H2" s="53"/>
      <c r="I2" s="53"/>
      <c r="J2" s="53"/>
    </row>
    <row r="3" spans="1:10" x14ac:dyDescent="0.25">
      <c r="A3" s="110" t="s">
        <v>271</v>
      </c>
      <c r="B3" s="110"/>
      <c r="C3" s="110"/>
      <c r="D3" s="110"/>
      <c r="E3" s="110"/>
      <c r="F3" s="110"/>
      <c r="G3" s="110"/>
      <c r="H3" s="110"/>
      <c r="I3" s="53"/>
      <c r="J3" s="53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53"/>
      <c r="J4" s="53"/>
    </row>
    <row r="5" spans="1:10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53"/>
      <c r="J6" s="53"/>
    </row>
    <row r="7" spans="1:10" ht="57" x14ac:dyDescent="0.25">
      <c r="A7" s="112"/>
      <c r="B7" s="113"/>
      <c r="C7" s="113"/>
      <c r="D7" s="113"/>
      <c r="E7" s="113"/>
      <c r="F7" s="73" t="s">
        <v>11</v>
      </c>
      <c r="G7" s="73" t="s">
        <v>12</v>
      </c>
      <c r="H7" s="113"/>
      <c r="I7" s="53"/>
      <c r="J7" s="53"/>
    </row>
    <row r="8" spans="1:10" x14ac:dyDescent="0.25">
      <c r="A8" s="54">
        <v>1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3"/>
      <c r="J8" s="53"/>
    </row>
    <row r="9" spans="1:10" x14ac:dyDescent="0.25">
      <c r="A9" s="54">
        <v>1</v>
      </c>
      <c r="B9" s="55" t="s">
        <v>272</v>
      </c>
      <c r="C9" s="56" t="s">
        <v>14</v>
      </c>
      <c r="D9" s="55">
        <f>F9/12</f>
        <v>109423.36916666666</v>
      </c>
      <c r="E9" s="55">
        <f>F9+G9</f>
        <v>1614060.52</v>
      </c>
      <c r="F9" s="55">
        <v>1313080.43</v>
      </c>
      <c r="G9" s="55">
        <v>300980.09000000003</v>
      </c>
      <c r="H9" s="57">
        <v>3</v>
      </c>
      <c r="I9" s="53"/>
      <c r="J9" s="53"/>
    </row>
    <row r="10" spans="1:10" ht="30" x14ac:dyDescent="0.25">
      <c r="A10" s="54">
        <v>2</v>
      </c>
      <c r="B10" s="55" t="s">
        <v>273</v>
      </c>
      <c r="C10" s="56" t="s">
        <v>228</v>
      </c>
      <c r="D10" s="55">
        <f t="shared" ref="D10:D11" si="0">F10/12</f>
        <v>55188.608333333337</v>
      </c>
      <c r="E10" s="55">
        <f t="shared" ref="E10:E12" si="1">F10+G10</f>
        <v>734888.8600000001</v>
      </c>
      <c r="F10" s="55">
        <v>662263.30000000005</v>
      </c>
      <c r="G10" s="55">
        <v>72625.56</v>
      </c>
      <c r="H10" s="57">
        <v>1.51</v>
      </c>
      <c r="I10" s="53"/>
      <c r="J10" s="53"/>
    </row>
    <row r="11" spans="1:10" x14ac:dyDescent="0.25">
      <c r="A11" s="54">
        <v>3</v>
      </c>
      <c r="B11" s="55" t="s">
        <v>274</v>
      </c>
      <c r="C11" s="56" t="s">
        <v>28</v>
      </c>
      <c r="D11" s="55">
        <f t="shared" si="0"/>
        <v>84630.988333333327</v>
      </c>
      <c r="E11" s="55">
        <f t="shared" si="1"/>
        <v>1118146.22</v>
      </c>
      <c r="F11" s="55">
        <v>1015571.86</v>
      </c>
      <c r="G11" s="55">
        <v>102574.36</v>
      </c>
      <c r="H11" s="57">
        <v>2.3199999999999998</v>
      </c>
      <c r="I11" s="53"/>
      <c r="J11" s="53"/>
    </row>
    <row r="12" spans="1:10" x14ac:dyDescent="0.25">
      <c r="A12" s="56"/>
      <c r="B12" s="105" t="s">
        <v>30</v>
      </c>
      <c r="C12" s="106"/>
      <c r="D12" s="55">
        <f>F12/12/173.5</f>
        <v>36529.827377521615</v>
      </c>
      <c r="E12" s="55">
        <f t="shared" si="1"/>
        <v>85190764.139999986</v>
      </c>
      <c r="F12" s="55">
        <v>76055100.599999994</v>
      </c>
      <c r="G12" s="55">
        <v>9135663.5399999991</v>
      </c>
      <c r="H12" s="54"/>
      <c r="I12" s="53"/>
      <c r="J12" s="53"/>
    </row>
    <row r="13" spans="1:10" x14ac:dyDescent="0.25">
      <c r="A13" s="53"/>
      <c r="B13" s="53"/>
      <c r="C13" s="53"/>
      <c r="D13" s="53"/>
      <c r="E13" s="58"/>
      <c r="F13" s="58"/>
      <c r="G13" s="58"/>
      <c r="H13" s="53"/>
      <c r="I13" s="53"/>
      <c r="J13" s="53"/>
    </row>
    <row r="14" spans="1:10" x14ac:dyDescent="0.25">
      <c r="A14" s="107" t="s">
        <v>31</v>
      </c>
      <c r="B14" s="107"/>
      <c r="C14" s="107"/>
      <c r="D14" s="107"/>
      <c r="E14" s="107"/>
      <c r="F14" s="107"/>
      <c r="G14" s="107"/>
      <c r="H14" s="107"/>
      <c r="I14" s="107"/>
      <c r="J14" s="107"/>
    </row>
    <row r="15" spans="1:10" x14ac:dyDescent="0.25">
      <c r="A15" s="53"/>
      <c r="B15" s="53"/>
      <c r="C15" s="53"/>
      <c r="D15" s="53"/>
      <c r="E15" s="53"/>
      <c r="F15" s="53"/>
      <c r="G15" s="53"/>
      <c r="H15" s="53"/>
      <c r="I15" s="53"/>
      <c r="J15" s="53"/>
    </row>
    <row r="16" spans="1:10" x14ac:dyDescent="0.25">
      <c r="A16" s="53"/>
      <c r="B16" s="53"/>
      <c r="C16" s="53"/>
      <c r="D16" s="53"/>
      <c r="E16" s="53"/>
      <c r="F16" s="53"/>
      <c r="G16" s="53"/>
      <c r="H16" s="53"/>
      <c r="I16" s="53"/>
      <c r="J16" s="53"/>
    </row>
    <row r="17" spans="1:10" x14ac:dyDescent="0.25">
      <c r="A17" s="53"/>
      <c r="B17" s="53"/>
      <c r="C17" s="53"/>
      <c r="D17" s="53"/>
      <c r="E17" s="53"/>
      <c r="F17" s="53"/>
      <c r="G17" s="53"/>
      <c r="H17" s="53"/>
      <c r="I17" s="53"/>
      <c r="J17" s="53"/>
    </row>
    <row r="18" spans="1:10" x14ac:dyDescent="0.25">
      <c r="A18" s="53"/>
      <c r="B18" s="53" t="s">
        <v>50</v>
      </c>
      <c r="C18" s="59"/>
      <c r="D18" s="60"/>
      <c r="E18" s="61" t="s">
        <v>275</v>
      </c>
      <c r="F18" s="59"/>
      <c r="G18" s="53"/>
      <c r="H18" s="53"/>
      <c r="I18" s="53"/>
      <c r="J18" s="53"/>
    </row>
    <row r="19" spans="1:10" x14ac:dyDescent="0.25">
      <c r="A19" s="53"/>
      <c r="B19" s="53"/>
      <c r="C19" s="62" t="s">
        <v>33</v>
      </c>
      <c r="D19" s="53"/>
      <c r="E19" s="108" t="s">
        <v>34</v>
      </c>
      <c r="F19" s="108"/>
      <c r="G19" s="53"/>
      <c r="H19" s="53"/>
      <c r="I19" s="53"/>
      <c r="J19" s="53"/>
    </row>
    <row r="20" spans="1:10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</row>
    <row r="21" spans="1:10" x14ac:dyDescent="0.25">
      <c r="A21" s="53"/>
      <c r="B21" s="53" t="s">
        <v>28</v>
      </c>
      <c r="C21" s="59"/>
      <c r="D21" s="60"/>
      <c r="E21" s="61" t="s">
        <v>276</v>
      </c>
      <c r="F21" s="59"/>
      <c r="G21" s="53"/>
      <c r="H21" s="53"/>
      <c r="I21" s="53"/>
      <c r="J21" s="53"/>
    </row>
    <row r="22" spans="1:10" x14ac:dyDescent="0.25">
      <c r="A22" s="53"/>
      <c r="B22" s="53"/>
      <c r="C22" s="62" t="s">
        <v>33</v>
      </c>
      <c r="D22" s="53"/>
      <c r="E22" s="108" t="s">
        <v>34</v>
      </c>
      <c r="F22" s="108"/>
      <c r="G22" s="53"/>
      <c r="H22" s="53"/>
      <c r="I22" s="53"/>
      <c r="J22" s="53"/>
    </row>
    <row r="23" spans="1:10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</row>
  </sheetData>
  <mergeCells count="14">
    <mergeCell ref="B12:C12"/>
    <mergeCell ref="A14:J14"/>
    <mergeCell ref="E19:F19"/>
    <mergeCell ref="E22:F22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F14" sqref="F14"/>
    </sheetView>
  </sheetViews>
  <sheetFormatPr defaultColWidth="9.140625" defaultRowHeight="15" x14ac:dyDescent="0.25"/>
  <cols>
    <col min="1" max="1" width="9.140625" style="81"/>
    <col min="2" max="2" width="38.85546875" style="81" customWidth="1"/>
    <col min="3" max="3" width="30.28515625" style="81" customWidth="1"/>
    <col min="4" max="4" width="23.42578125" style="88" customWidth="1"/>
    <col min="5" max="5" width="17.85546875" style="88" customWidth="1"/>
    <col min="6" max="6" width="17.140625" style="88" customWidth="1"/>
    <col min="7" max="7" width="17.42578125" style="88" customWidth="1"/>
    <col min="8" max="8" width="30.5703125" style="88" customWidth="1"/>
    <col min="9" max="16384" width="9.140625" style="81"/>
  </cols>
  <sheetData>
    <row r="1" spans="1:10" x14ac:dyDescent="0.25">
      <c r="A1" s="136" t="s">
        <v>0</v>
      </c>
      <c r="B1" s="136"/>
      <c r="C1" s="136"/>
      <c r="D1" s="136"/>
      <c r="E1" s="136"/>
      <c r="F1" s="136"/>
      <c r="G1" s="136"/>
      <c r="H1" s="136"/>
    </row>
    <row r="2" spans="1:10" x14ac:dyDescent="0.25">
      <c r="A2" s="66"/>
      <c r="B2" s="66"/>
      <c r="C2" s="66"/>
      <c r="D2" s="70"/>
      <c r="E2" s="70" t="s">
        <v>1</v>
      </c>
      <c r="F2" s="70"/>
      <c r="G2" s="70"/>
      <c r="H2" s="70"/>
    </row>
    <row r="3" spans="1:10" x14ac:dyDescent="0.25">
      <c r="A3" s="137" t="s">
        <v>288</v>
      </c>
      <c r="B3" s="137"/>
      <c r="C3" s="137"/>
      <c r="D3" s="137"/>
      <c r="E3" s="137"/>
      <c r="F3" s="137"/>
      <c r="G3" s="137"/>
      <c r="H3" s="137"/>
    </row>
    <row r="4" spans="1:10" x14ac:dyDescent="0.25">
      <c r="A4" s="138" t="s">
        <v>3</v>
      </c>
      <c r="B4" s="138"/>
      <c r="C4" s="138"/>
      <c r="D4" s="138"/>
      <c r="E4" s="138"/>
      <c r="F4" s="138"/>
      <c r="G4" s="138"/>
      <c r="H4" s="138"/>
    </row>
    <row r="5" spans="1:10" x14ac:dyDescent="0.25">
      <c r="A5" s="66"/>
      <c r="B5" s="66"/>
      <c r="C5" s="66"/>
      <c r="D5" s="70"/>
      <c r="E5" s="70"/>
      <c r="F5" s="70"/>
      <c r="G5" s="70"/>
      <c r="H5" s="70"/>
    </row>
    <row r="6" spans="1:10" x14ac:dyDescent="0.25">
      <c r="A6" s="139" t="s">
        <v>4</v>
      </c>
      <c r="B6" s="130" t="s">
        <v>5</v>
      </c>
      <c r="C6" s="130" t="s">
        <v>6</v>
      </c>
      <c r="D6" s="140" t="s">
        <v>7</v>
      </c>
      <c r="E6" s="140" t="s">
        <v>8</v>
      </c>
      <c r="F6" s="140" t="s">
        <v>9</v>
      </c>
      <c r="G6" s="140"/>
      <c r="H6" s="140" t="s">
        <v>10</v>
      </c>
    </row>
    <row r="7" spans="1:10" ht="90" x14ac:dyDescent="0.25">
      <c r="A7" s="139"/>
      <c r="B7" s="130"/>
      <c r="C7" s="130"/>
      <c r="D7" s="140"/>
      <c r="E7" s="140"/>
      <c r="F7" s="82" t="s">
        <v>11</v>
      </c>
      <c r="G7" s="82" t="s">
        <v>12</v>
      </c>
      <c r="H7" s="140"/>
    </row>
    <row r="8" spans="1:10" s="84" customFormat="1" x14ac:dyDescent="0.25">
      <c r="A8" s="83">
        <v>1</v>
      </c>
      <c r="B8" s="83">
        <v>2</v>
      </c>
      <c r="C8" s="83">
        <v>3</v>
      </c>
      <c r="D8" s="83">
        <v>4</v>
      </c>
      <c r="E8" s="83">
        <v>5</v>
      </c>
      <c r="F8" s="83">
        <v>6</v>
      </c>
      <c r="G8" s="83">
        <v>7</v>
      </c>
      <c r="H8" s="83">
        <v>8</v>
      </c>
    </row>
    <row r="9" spans="1:10" x14ac:dyDescent="0.25">
      <c r="A9" s="68">
        <v>1</v>
      </c>
      <c r="B9" s="85" t="s">
        <v>289</v>
      </c>
      <c r="C9" s="86" t="s">
        <v>77</v>
      </c>
      <c r="D9" s="87">
        <v>145384.24</v>
      </c>
      <c r="E9" s="69">
        <f>F9+G9</f>
        <v>1977676.5599999998</v>
      </c>
      <c r="F9" s="69">
        <v>1744610.89</v>
      </c>
      <c r="G9" s="69">
        <v>233065.67</v>
      </c>
      <c r="H9" s="87">
        <f>D9/D21</f>
        <v>3.3241290249414437</v>
      </c>
    </row>
    <row r="10" spans="1:10" ht="30" x14ac:dyDescent="0.25">
      <c r="A10" s="68">
        <v>2</v>
      </c>
      <c r="B10" s="69" t="s">
        <v>290</v>
      </c>
      <c r="C10" s="86" t="s">
        <v>16</v>
      </c>
      <c r="D10" s="87">
        <v>129770.91</v>
      </c>
      <c r="E10" s="69">
        <f t="shared" ref="E10:E21" si="0">F10+G10</f>
        <v>1730509.2</v>
      </c>
      <c r="F10" s="69">
        <v>1557250.93</v>
      </c>
      <c r="G10" s="69">
        <v>173258.27</v>
      </c>
      <c r="H10" s="87">
        <f>D10/D21</f>
        <v>2.9671390002387046</v>
      </c>
    </row>
    <row r="11" spans="1:10" ht="30" x14ac:dyDescent="0.25">
      <c r="A11" s="68">
        <v>3</v>
      </c>
      <c r="B11" s="69" t="s">
        <v>291</v>
      </c>
      <c r="C11" s="86" t="s">
        <v>292</v>
      </c>
      <c r="D11" s="87">
        <v>114100.071</v>
      </c>
      <c r="E11" s="69">
        <f t="shared" si="0"/>
        <v>1506202.52</v>
      </c>
      <c r="F11" s="69">
        <v>1369200.86</v>
      </c>
      <c r="G11" s="69">
        <v>137001.66</v>
      </c>
      <c r="H11" s="87">
        <f>D11/D21</f>
        <v>2.6088340645380788</v>
      </c>
    </row>
    <row r="12" spans="1:10" ht="30" x14ac:dyDescent="0.25">
      <c r="A12" s="68"/>
      <c r="B12" s="69" t="s">
        <v>293</v>
      </c>
      <c r="C12" s="86" t="s">
        <v>294</v>
      </c>
      <c r="D12" s="87">
        <v>109352.38</v>
      </c>
      <c r="E12" s="69">
        <f t="shared" si="0"/>
        <v>775829.25</v>
      </c>
      <c r="F12" s="69">
        <v>656114.30000000005</v>
      </c>
      <c r="G12" s="69">
        <v>119714.95</v>
      </c>
      <c r="H12" s="87">
        <f>D12/D21</f>
        <v>2.5002807753056748</v>
      </c>
    </row>
    <row r="13" spans="1:10" ht="30" x14ac:dyDescent="0.25">
      <c r="A13" s="68"/>
      <c r="B13" s="69" t="s">
        <v>295</v>
      </c>
      <c r="C13" s="86" t="s">
        <v>246</v>
      </c>
      <c r="D13" s="87">
        <v>114232.4</v>
      </c>
      <c r="E13" s="69">
        <f t="shared" si="0"/>
        <v>1607794.5</v>
      </c>
      <c r="F13" s="69">
        <v>1370788.91</v>
      </c>
      <c r="G13" s="69">
        <v>237005.59</v>
      </c>
      <c r="H13" s="87">
        <f>D13/D21</f>
        <v>2.6118596928299862</v>
      </c>
    </row>
    <row r="14" spans="1:10" ht="105" x14ac:dyDescent="0.25">
      <c r="A14" s="68"/>
      <c r="B14" s="69" t="s">
        <v>296</v>
      </c>
      <c r="C14" s="86" t="s">
        <v>297</v>
      </c>
      <c r="D14" s="87">
        <v>115262.26</v>
      </c>
      <c r="E14" s="69">
        <f t="shared" si="0"/>
        <v>1595909.6</v>
      </c>
      <c r="F14" s="69">
        <v>1383147.1400000001</v>
      </c>
      <c r="G14" s="69">
        <v>212762.46000000002</v>
      </c>
      <c r="H14" s="87">
        <f>D14/D21</f>
        <v>2.6354068635386283</v>
      </c>
    </row>
    <row r="15" spans="1:10" ht="45" x14ac:dyDescent="0.25">
      <c r="A15" s="68"/>
      <c r="B15" s="69" t="s">
        <v>298</v>
      </c>
      <c r="C15" s="86" t="s">
        <v>22</v>
      </c>
      <c r="D15" s="87">
        <v>111364.72</v>
      </c>
      <c r="E15" s="69">
        <f t="shared" si="0"/>
        <v>1335781.2</v>
      </c>
      <c r="F15" s="69">
        <v>1225011.95</v>
      </c>
      <c r="G15" s="69">
        <v>110769.25</v>
      </c>
      <c r="H15" s="87">
        <f>D15/D21</f>
        <v>2.5462917996233769</v>
      </c>
      <c r="J15" s="88"/>
    </row>
    <row r="16" spans="1:10" ht="30" x14ac:dyDescent="0.25">
      <c r="A16" s="68"/>
      <c r="B16" s="69" t="s">
        <v>299</v>
      </c>
      <c r="C16" s="86" t="s">
        <v>47</v>
      </c>
      <c r="D16" s="87">
        <v>103878.83</v>
      </c>
      <c r="E16" s="69">
        <f t="shared" si="0"/>
        <v>572627.15</v>
      </c>
      <c r="F16" s="69">
        <v>519394.16</v>
      </c>
      <c r="G16" s="69">
        <v>53232.99</v>
      </c>
      <c r="H16" s="87">
        <f>D16/D21</f>
        <v>2.3751311275552154</v>
      </c>
    </row>
    <row r="17" spans="1:8" ht="30" x14ac:dyDescent="0.25">
      <c r="A17" s="68"/>
      <c r="B17" s="69" t="s">
        <v>300</v>
      </c>
      <c r="C17" s="86" t="s">
        <v>47</v>
      </c>
      <c r="D17" s="87">
        <v>102511.09999999999</v>
      </c>
      <c r="E17" s="69">
        <f t="shared" si="0"/>
        <v>615066.6</v>
      </c>
      <c r="F17" s="69">
        <v>615066.6</v>
      </c>
      <c r="G17" s="69"/>
      <c r="H17" s="87">
        <f>D17/D21</f>
        <v>2.3438587489859617</v>
      </c>
    </row>
    <row r="18" spans="1:8" ht="30" x14ac:dyDescent="0.25">
      <c r="A18" s="68"/>
      <c r="B18" s="89" t="s">
        <v>301</v>
      </c>
      <c r="C18" s="86" t="s">
        <v>302</v>
      </c>
      <c r="D18" s="87">
        <v>100002.13</v>
      </c>
      <c r="E18" s="69">
        <f t="shared" si="0"/>
        <v>1356797.19</v>
      </c>
      <c r="F18" s="69">
        <v>1200025.57</v>
      </c>
      <c r="G18" s="69">
        <v>156771.62</v>
      </c>
      <c r="H18" s="87">
        <f>D18/D21</f>
        <v>2.2864925585398219</v>
      </c>
    </row>
    <row r="19" spans="1:8" ht="30" x14ac:dyDescent="0.25">
      <c r="A19" s="68"/>
      <c r="B19" s="90" t="s">
        <v>303</v>
      </c>
      <c r="C19" s="86" t="s">
        <v>228</v>
      </c>
      <c r="D19" s="87">
        <v>100008.61</v>
      </c>
      <c r="E19" s="69">
        <f t="shared" si="0"/>
        <v>100008.61</v>
      </c>
      <c r="F19" s="69">
        <v>100008.61</v>
      </c>
      <c r="G19" s="69"/>
      <c r="H19" s="87">
        <f>D19/D21</f>
        <v>2.286640720101774</v>
      </c>
    </row>
    <row r="20" spans="1:8" x14ac:dyDescent="0.25">
      <c r="A20" s="68"/>
      <c r="B20" s="69" t="s">
        <v>304</v>
      </c>
      <c r="C20" s="86" t="s">
        <v>28</v>
      </c>
      <c r="D20" s="87">
        <v>108976.14</v>
      </c>
      <c r="E20" s="69">
        <f t="shared" si="0"/>
        <v>1258642.7200000002</v>
      </c>
      <c r="F20" s="69">
        <v>1198737.6200000001</v>
      </c>
      <c r="G20" s="69">
        <v>59905.1</v>
      </c>
      <c r="H20" s="87">
        <f>D20/D21</f>
        <v>2.4916782589370232</v>
      </c>
    </row>
    <row r="21" spans="1:8" x14ac:dyDescent="0.25">
      <c r="A21" s="86"/>
      <c r="B21" s="132" t="s">
        <v>30</v>
      </c>
      <c r="C21" s="133"/>
      <c r="D21" s="69">
        <v>43736.04</v>
      </c>
      <c r="E21" s="69">
        <f t="shared" si="0"/>
        <v>442444764.94</v>
      </c>
      <c r="F21" s="69">
        <v>402126631.85000002</v>
      </c>
      <c r="G21" s="69">
        <v>40318133.089999996</v>
      </c>
      <c r="H21" s="87"/>
    </row>
    <row r="22" spans="1:8" x14ac:dyDescent="0.25">
      <c r="A22" s="66"/>
      <c r="B22" s="66"/>
      <c r="C22" s="66"/>
      <c r="D22" s="70"/>
      <c r="E22" s="70"/>
      <c r="F22" s="70"/>
      <c r="G22" s="70"/>
      <c r="H22" s="70"/>
    </row>
    <row r="23" spans="1:8" x14ac:dyDescent="0.25">
      <c r="A23" s="134" t="s">
        <v>31</v>
      </c>
      <c r="B23" s="134"/>
      <c r="C23" s="134"/>
      <c r="D23" s="134"/>
      <c r="E23" s="134"/>
      <c r="F23" s="134"/>
      <c r="G23" s="134"/>
      <c r="H23" s="134"/>
    </row>
    <row r="24" spans="1:8" x14ac:dyDescent="0.25">
      <c r="A24" s="66"/>
      <c r="B24" s="66"/>
      <c r="C24" s="66"/>
      <c r="D24" s="70"/>
      <c r="E24" s="70"/>
      <c r="F24" s="70"/>
      <c r="G24" s="70"/>
      <c r="H24" s="70"/>
    </row>
    <row r="25" spans="1:8" x14ac:dyDescent="0.25">
      <c r="A25" s="66"/>
      <c r="B25" s="66"/>
      <c r="C25" s="66"/>
      <c r="D25" s="70"/>
      <c r="E25" s="70"/>
      <c r="F25" s="70"/>
      <c r="G25" s="70"/>
      <c r="H25" s="70"/>
    </row>
    <row r="26" spans="1:8" x14ac:dyDescent="0.25">
      <c r="A26" s="66"/>
      <c r="B26" s="66"/>
      <c r="C26" s="66"/>
      <c r="D26" s="70"/>
      <c r="E26" s="70"/>
      <c r="F26" s="70"/>
      <c r="G26" s="70"/>
      <c r="H26" s="70"/>
    </row>
    <row r="27" spans="1:8" x14ac:dyDescent="0.25">
      <c r="A27" s="66"/>
      <c r="B27" s="66" t="s">
        <v>50</v>
      </c>
      <c r="C27" s="71"/>
      <c r="D27" s="91"/>
      <c r="E27" s="92"/>
      <c r="F27" s="93"/>
      <c r="G27" s="70"/>
      <c r="H27" s="70"/>
    </row>
    <row r="28" spans="1:8" x14ac:dyDescent="0.25">
      <c r="A28" s="66"/>
      <c r="B28" s="66"/>
      <c r="C28" s="94" t="s">
        <v>33</v>
      </c>
      <c r="D28" s="70"/>
      <c r="E28" s="135" t="s">
        <v>34</v>
      </c>
      <c r="F28" s="135"/>
      <c r="G28" s="70"/>
      <c r="H28" s="70"/>
    </row>
    <row r="29" spans="1:8" x14ac:dyDescent="0.25">
      <c r="A29" s="66"/>
      <c r="B29" s="66"/>
      <c r="C29" s="66"/>
      <c r="D29" s="70"/>
      <c r="E29" s="70"/>
      <c r="F29" s="70"/>
      <c r="G29" s="70"/>
      <c r="H29" s="70"/>
    </row>
    <row r="30" spans="1:8" x14ac:dyDescent="0.25">
      <c r="A30" s="66"/>
      <c r="B30" s="66" t="s">
        <v>28</v>
      </c>
      <c r="C30" s="71"/>
      <c r="D30" s="91"/>
      <c r="E30" s="92"/>
      <c r="F30" s="93"/>
      <c r="G30" s="70"/>
      <c r="H30" s="70"/>
    </row>
    <row r="31" spans="1:8" x14ac:dyDescent="0.25">
      <c r="A31" s="66"/>
      <c r="B31" s="66"/>
      <c r="C31" s="94" t="s">
        <v>33</v>
      </c>
      <c r="D31" s="70"/>
      <c r="E31" s="135" t="s">
        <v>34</v>
      </c>
      <c r="F31" s="135"/>
      <c r="G31" s="70"/>
      <c r="H31" s="70"/>
    </row>
    <row r="32" spans="1:8" x14ac:dyDescent="0.25">
      <c r="A32" s="66"/>
      <c r="B32" s="66"/>
      <c r="C32" s="66"/>
      <c r="D32" s="70"/>
      <c r="E32" s="70"/>
      <c r="F32" s="70"/>
      <c r="G32" s="70"/>
      <c r="H32" s="70"/>
    </row>
  </sheetData>
  <mergeCells count="14">
    <mergeCell ref="B21:C21"/>
    <mergeCell ref="A23:H23"/>
    <mergeCell ref="E28:F28"/>
    <mergeCell ref="E31:F31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C10" sqref="C10:C11"/>
    </sheetView>
  </sheetViews>
  <sheetFormatPr defaultRowHeight="15" x14ac:dyDescent="0.25"/>
  <cols>
    <col min="1" max="1" width="9.140625" style="52"/>
    <col min="2" max="2" width="33.5703125" style="52" customWidth="1"/>
    <col min="3" max="3" width="30.28515625" style="52" customWidth="1"/>
    <col min="4" max="4" width="23.42578125" style="52" customWidth="1"/>
    <col min="5" max="5" width="31.28515625" style="52" customWidth="1"/>
    <col min="6" max="6" width="25.28515625" style="52" customWidth="1"/>
    <col min="7" max="7" width="22.5703125" style="52" customWidth="1"/>
    <col min="8" max="8" width="30.5703125" style="52" customWidth="1"/>
    <col min="9" max="9" width="9.7109375" style="52" customWidth="1"/>
    <col min="10" max="16384" width="9.140625" style="52"/>
  </cols>
  <sheetData>
    <row r="1" spans="1:10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53"/>
      <c r="J1" s="53"/>
    </row>
    <row r="2" spans="1:10" x14ac:dyDescent="0.25">
      <c r="A2" s="53"/>
      <c r="B2" s="53"/>
      <c r="C2" s="53"/>
      <c r="D2" s="53"/>
      <c r="E2" s="63" t="s">
        <v>1</v>
      </c>
      <c r="F2" s="53"/>
      <c r="G2" s="53"/>
      <c r="H2" s="53"/>
      <c r="I2" s="53"/>
      <c r="J2" s="53"/>
    </row>
    <row r="3" spans="1:10" x14ac:dyDescent="0.25">
      <c r="A3" s="110" t="s">
        <v>305</v>
      </c>
      <c r="B3" s="110"/>
      <c r="C3" s="110"/>
      <c r="D3" s="110"/>
      <c r="E3" s="110"/>
      <c r="F3" s="110"/>
      <c r="G3" s="110"/>
      <c r="H3" s="110"/>
      <c r="I3" s="53"/>
      <c r="J3" s="53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53"/>
      <c r="J4" s="53"/>
    </row>
    <row r="5" spans="1:10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53"/>
      <c r="J6" s="53"/>
    </row>
    <row r="7" spans="1:10" ht="57" x14ac:dyDescent="0.25">
      <c r="A7" s="112"/>
      <c r="B7" s="113"/>
      <c r="C7" s="113"/>
      <c r="D7" s="113"/>
      <c r="E7" s="113"/>
      <c r="F7" s="79" t="s">
        <v>11</v>
      </c>
      <c r="G7" s="79" t="s">
        <v>12</v>
      </c>
      <c r="H7" s="113"/>
      <c r="I7" s="53"/>
      <c r="J7" s="53"/>
    </row>
    <row r="8" spans="1:10" x14ac:dyDescent="0.25">
      <c r="A8" s="54">
        <v>1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3"/>
      <c r="J8" s="53"/>
    </row>
    <row r="9" spans="1:10" x14ac:dyDescent="0.25">
      <c r="A9" s="54">
        <v>1</v>
      </c>
      <c r="B9" s="55" t="s">
        <v>306</v>
      </c>
      <c r="C9" s="56" t="s">
        <v>77</v>
      </c>
      <c r="D9" s="55">
        <f>F9/12</f>
        <v>138184.39166666666</v>
      </c>
      <c r="E9" s="55">
        <f>F9+G9</f>
        <v>1993705.0499999998</v>
      </c>
      <c r="F9" s="55">
        <v>1658212.7</v>
      </c>
      <c r="G9" s="55">
        <v>335492.34999999998</v>
      </c>
      <c r="H9" s="57">
        <f>D9/D21</f>
        <v>3.4517626078742079</v>
      </c>
      <c r="I9" s="53"/>
      <c r="J9" s="53"/>
    </row>
    <row r="10" spans="1:10" ht="30" x14ac:dyDescent="0.25">
      <c r="A10" s="54">
        <v>2</v>
      </c>
      <c r="B10" s="55" t="s">
        <v>307</v>
      </c>
      <c r="C10" s="56" t="s">
        <v>16</v>
      </c>
      <c r="D10" s="55">
        <f t="shared" ref="D10:D20" si="0">F10/12</f>
        <v>125769.90916666666</v>
      </c>
      <c r="E10" s="55">
        <f t="shared" ref="E10:E21" si="1">F10+G10</f>
        <v>1581430.5999999999</v>
      </c>
      <c r="F10" s="55">
        <v>1509238.91</v>
      </c>
      <c r="G10" s="55">
        <v>72191.69</v>
      </c>
      <c r="H10" s="57">
        <f>D10/D21</f>
        <v>3.1416563362992136</v>
      </c>
      <c r="I10" s="53"/>
      <c r="J10" s="53"/>
    </row>
    <row r="11" spans="1:10" ht="45" x14ac:dyDescent="0.25">
      <c r="A11" s="54">
        <v>3</v>
      </c>
      <c r="B11" s="55" t="s">
        <v>308</v>
      </c>
      <c r="C11" s="55" t="s">
        <v>22</v>
      </c>
      <c r="D11" s="55">
        <f t="shared" si="0"/>
        <v>94220.174166666679</v>
      </c>
      <c r="E11" s="55">
        <f t="shared" si="1"/>
        <v>1244155.02</v>
      </c>
      <c r="F11" s="55">
        <v>1130642.0900000001</v>
      </c>
      <c r="G11" s="55">
        <v>113512.93</v>
      </c>
      <c r="H11" s="57">
        <f>D11/D21</f>
        <v>2.3535630194791932</v>
      </c>
      <c r="I11" s="53"/>
      <c r="J11" s="53"/>
    </row>
    <row r="12" spans="1:10" ht="45" x14ac:dyDescent="0.25">
      <c r="A12" s="54">
        <v>4</v>
      </c>
      <c r="B12" s="55" t="s">
        <v>309</v>
      </c>
      <c r="C12" s="55" t="s">
        <v>310</v>
      </c>
      <c r="D12" s="55">
        <f t="shared" si="0"/>
        <v>92095.794999999998</v>
      </c>
      <c r="E12" s="55">
        <f t="shared" si="1"/>
        <v>1206306.98</v>
      </c>
      <c r="F12" s="55">
        <v>1105149.54</v>
      </c>
      <c r="G12" s="55">
        <v>101157.44</v>
      </c>
      <c r="H12" s="57">
        <f>D12/D21</f>
        <v>2.3004973115218461</v>
      </c>
      <c r="I12" s="53"/>
      <c r="J12" s="53"/>
    </row>
    <row r="13" spans="1:10" ht="30" x14ac:dyDescent="0.25">
      <c r="A13" s="54">
        <v>5</v>
      </c>
      <c r="B13" s="55" t="s">
        <v>311</v>
      </c>
      <c r="C13" s="55" t="s">
        <v>312</v>
      </c>
      <c r="D13" s="55">
        <f t="shared" si="0"/>
        <v>94363.01416666666</v>
      </c>
      <c r="E13" s="55">
        <f t="shared" si="1"/>
        <v>1225489.1599999999</v>
      </c>
      <c r="F13" s="55">
        <v>1132356.17</v>
      </c>
      <c r="G13" s="55">
        <v>93132.99</v>
      </c>
      <c r="H13" s="57">
        <f>D13/D21</f>
        <v>2.3571310763701483</v>
      </c>
      <c r="I13" s="53"/>
      <c r="J13" s="53"/>
    </row>
    <row r="14" spans="1:10" ht="45" x14ac:dyDescent="0.25">
      <c r="A14" s="54">
        <v>6</v>
      </c>
      <c r="B14" s="55" t="s">
        <v>313</v>
      </c>
      <c r="C14" s="55" t="s">
        <v>314</v>
      </c>
      <c r="D14" s="55">
        <f t="shared" si="0"/>
        <v>92984.289166666669</v>
      </c>
      <c r="E14" s="55">
        <f t="shared" si="1"/>
        <v>1203159.29</v>
      </c>
      <c r="F14" s="55">
        <v>1115811.47</v>
      </c>
      <c r="G14" s="55">
        <v>87347.82</v>
      </c>
      <c r="H14" s="57">
        <f>D14/D21</f>
        <v>2.3226913589451788</v>
      </c>
      <c r="I14" s="53"/>
      <c r="J14" s="53"/>
    </row>
    <row r="15" spans="1:10" ht="75" x14ac:dyDescent="0.25">
      <c r="A15" s="54">
        <v>7</v>
      </c>
      <c r="B15" s="55" t="s">
        <v>315</v>
      </c>
      <c r="C15" s="55" t="s">
        <v>316</v>
      </c>
      <c r="D15" s="55">
        <f t="shared" si="0"/>
        <v>97010.572500000009</v>
      </c>
      <c r="E15" s="55">
        <f t="shared" si="1"/>
        <v>1241856.55</v>
      </c>
      <c r="F15" s="55">
        <v>1164126.8700000001</v>
      </c>
      <c r="G15" s="55">
        <v>77729.679999999993</v>
      </c>
      <c r="H15" s="57">
        <f>D15/D21</f>
        <v>2.4232654837872363</v>
      </c>
      <c r="I15" s="53"/>
      <c r="J15" s="53"/>
    </row>
    <row r="16" spans="1:10" ht="45" x14ac:dyDescent="0.25">
      <c r="A16" s="54">
        <v>8</v>
      </c>
      <c r="B16" s="55" t="s">
        <v>317</v>
      </c>
      <c r="C16" s="55" t="s">
        <v>258</v>
      </c>
      <c r="D16" s="55">
        <f t="shared" si="0"/>
        <v>93247.07666666666</v>
      </c>
      <c r="E16" s="55">
        <f t="shared" si="1"/>
        <v>1210656.27</v>
      </c>
      <c r="F16" s="55">
        <v>1118964.92</v>
      </c>
      <c r="G16" s="55">
        <v>91691.35</v>
      </c>
      <c r="H16" s="57">
        <f>D16/D21</f>
        <v>2.3292556319095579</v>
      </c>
      <c r="I16" s="53"/>
      <c r="J16" s="53"/>
    </row>
    <row r="17" spans="1:10" ht="45" x14ac:dyDescent="0.25">
      <c r="A17" s="54">
        <v>9</v>
      </c>
      <c r="B17" s="55" t="s">
        <v>318</v>
      </c>
      <c r="C17" s="56" t="s">
        <v>319</v>
      </c>
      <c r="D17" s="55">
        <f>F17/12/0.2</f>
        <v>109367.96666666666</v>
      </c>
      <c r="E17" s="55">
        <f t="shared" si="1"/>
        <v>262483.12</v>
      </c>
      <c r="F17" s="55">
        <v>262483.12</v>
      </c>
      <c r="G17" s="55"/>
      <c r="H17" s="57">
        <f>D17/D21</f>
        <v>2.7319457232903797</v>
      </c>
      <c r="I17" s="53" t="s">
        <v>320</v>
      </c>
      <c r="J17" s="53"/>
    </row>
    <row r="18" spans="1:10" ht="30" x14ac:dyDescent="0.25">
      <c r="A18" s="54">
        <v>10</v>
      </c>
      <c r="B18" s="55" t="s">
        <v>321</v>
      </c>
      <c r="C18" s="55" t="s">
        <v>47</v>
      </c>
      <c r="D18" s="55">
        <f t="shared" si="0"/>
        <v>124429.40999999999</v>
      </c>
      <c r="E18" s="55">
        <f t="shared" si="1"/>
        <v>1625384.14</v>
      </c>
      <c r="F18" s="55">
        <v>1493152.92</v>
      </c>
      <c r="G18" s="55">
        <v>132231.22</v>
      </c>
      <c r="H18" s="57">
        <f>D18/D21</f>
        <v>3.1081714770934923</v>
      </c>
      <c r="I18" s="53"/>
      <c r="J18" s="53"/>
    </row>
    <row r="19" spans="1:10" ht="30" x14ac:dyDescent="0.25">
      <c r="A19" s="54">
        <v>11</v>
      </c>
      <c r="B19" s="55" t="s">
        <v>322</v>
      </c>
      <c r="C19" s="56" t="s">
        <v>323</v>
      </c>
      <c r="D19" s="55">
        <f t="shared" si="0"/>
        <v>83958.451666666675</v>
      </c>
      <c r="E19" s="55">
        <f t="shared" si="1"/>
        <v>1110437.6200000001</v>
      </c>
      <c r="F19" s="55">
        <v>1007501.42</v>
      </c>
      <c r="G19" s="55">
        <v>102936.2</v>
      </c>
      <c r="H19" s="57">
        <f>D19/D21</f>
        <v>2.0972313919294963</v>
      </c>
      <c r="I19" s="53"/>
      <c r="J19" s="53"/>
    </row>
    <row r="20" spans="1:10" x14ac:dyDescent="0.25">
      <c r="A20" s="54">
        <v>12</v>
      </c>
      <c r="B20" s="55" t="s">
        <v>324</v>
      </c>
      <c r="C20" s="56" t="s">
        <v>28</v>
      </c>
      <c r="D20" s="55">
        <f t="shared" si="0"/>
        <v>98856.80333333333</v>
      </c>
      <c r="E20" s="55">
        <f t="shared" si="1"/>
        <v>1257961.6399999999</v>
      </c>
      <c r="F20" s="55">
        <v>1186281.6399999999</v>
      </c>
      <c r="G20" s="55">
        <v>71680</v>
      </c>
      <c r="H20" s="57">
        <f>D20/D21</f>
        <v>2.4693832144451022</v>
      </c>
      <c r="I20" s="53"/>
      <c r="J20" s="53"/>
    </row>
    <row r="21" spans="1:10" x14ac:dyDescent="0.25">
      <c r="A21" s="56"/>
      <c r="B21" s="105" t="s">
        <v>30</v>
      </c>
      <c r="C21" s="106"/>
      <c r="D21" s="55">
        <f>F21/12/1106.4</f>
        <v>40032.993969932504</v>
      </c>
      <c r="E21" s="55">
        <f t="shared" si="1"/>
        <v>583170908.42999995</v>
      </c>
      <c r="F21" s="55">
        <v>531510054.33999997</v>
      </c>
      <c r="G21" s="55">
        <v>51660854.090000004</v>
      </c>
      <c r="H21" s="54"/>
      <c r="I21" s="53"/>
      <c r="J21" s="53"/>
    </row>
    <row r="22" spans="1:10" x14ac:dyDescent="0.25">
      <c r="A22" s="53"/>
      <c r="B22" s="53"/>
      <c r="C22" s="53"/>
      <c r="D22" s="53"/>
      <c r="E22" s="58"/>
      <c r="F22" s="58"/>
      <c r="G22" s="58"/>
      <c r="H22" s="53"/>
      <c r="I22" s="53"/>
      <c r="J22" s="53"/>
    </row>
    <row r="23" spans="1:10" x14ac:dyDescent="0.25">
      <c r="A23" s="107" t="s">
        <v>31</v>
      </c>
      <c r="B23" s="107"/>
      <c r="C23" s="107"/>
      <c r="D23" s="107"/>
      <c r="E23" s="107"/>
      <c r="F23" s="107"/>
      <c r="G23" s="107"/>
      <c r="H23" s="107"/>
      <c r="I23" s="107"/>
      <c r="J23" s="107"/>
    </row>
    <row r="24" spans="1:10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</row>
    <row r="25" spans="1:10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</row>
    <row r="26" spans="1:10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</row>
    <row r="27" spans="1:10" x14ac:dyDescent="0.25">
      <c r="A27" s="53"/>
      <c r="B27" s="53" t="s">
        <v>50</v>
      </c>
      <c r="C27" s="59"/>
      <c r="D27" s="60"/>
      <c r="E27" s="78" t="s">
        <v>325</v>
      </c>
      <c r="F27" s="59"/>
      <c r="G27" s="53"/>
      <c r="H27" s="53"/>
      <c r="I27" s="53"/>
      <c r="J27" s="53"/>
    </row>
    <row r="28" spans="1:10" x14ac:dyDescent="0.25">
      <c r="A28" s="53"/>
      <c r="B28" s="53"/>
      <c r="C28" s="62" t="s">
        <v>33</v>
      </c>
      <c r="D28" s="53"/>
      <c r="E28" s="108" t="s">
        <v>34</v>
      </c>
      <c r="F28" s="108"/>
      <c r="G28" s="53"/>
      <c r="H28" s="53"/>
      <c r="I28" s="53"/>
      <c r="J28" s="53"/>
    </row>
    <row r="29" spans="1:10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</row>
    <row r="30" spans="1:10" x14ac:dyDescent="0.25">
      <c r="A30" s="53"/>
      <c r="B30" s="53" t="s">
        <v>28</v>
      </c>
      <c r="C30" s="59"/>
      <c r="D30" s="60"/>
      <c r="E30" s="78" t="s">
        <v>326</v>
      </c>
      <c r="F30" s="59"/>
      <c r="G30" s="53"/>
      <c r="H30" s="53"/>
      <c r="I30" s="53"/>
      <c r="J30" s="53"/>
    </row>
    <row r="31" spans="1:10" x14ac:dyDescent="0.25">
      <c r="A31" s="53"/>
      <c r="B31" s="53"/>
      <c r="C31" s="62" t="s">
        <v>33</v>
      </c>
      <c r="D31" s="53"/>
      <c r="E31" s="108" t="s">
        <v>34</v>
      </c>
      <c r="F31" s="108"/>
      <c r="G31" s="53"/>
      <c r="H31" s="53"/>
      <c r="I31" s="53"/>
      <c r="J31" s="53"/>
    </row>
    <row r="32" spans="1:10" x14ac:dyDescent="0.25">
      <c r="A32" s="53"/>
      <c r="B32" s="53"/>
      <c r="C32" s="53"/>
      <c r="D32" s="53"/>
      <c r="E32" s="53"/>
      <c r="F32" s="53"/>
      <c r="G32" s="53"/>
      <c r="H32" s="53"/>
      <c r="I32" s="53"/>
      <c r="J32" s="53"/>
    </row>
  </sheetData>
  <mergeCells count="14">
    <mergeCell ref="B21:C21"/>
    <mergeCell ref="A23:J23"/>
    <mergeCell ref="E28:F28"/>
    <mergeCell ref="E31:F31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H39" sqref="H39"/>
    </sheetView>
  </sheetViews>
  <sheetFormatPr defaultRowHeight="15" x14ac:dyDescent="0.25"/>
  <cols>
    <col min="1" max="1" width="9.140625" style="52"/>
    <col min="2" max="2" width="33.5703125" style="52" customWidth="1"/>
    <col min="3" max="3" width="30.28515625" style="52" customWidth="1"/>
    <col min="4" max="4" width="23.42578125" style="52" customWidth="1"/>
    <col min="5" max="5" width="31.28515625" style="52" customWidth="1"/>
    <col min="6" max="6" width="25.28515625" style="52" customWidth="1"/>
    <col min="7" max="7" width="22.5703125" style="52" customWidth="1"/>
    <col min="8" max="8" width="30.5703125" style="52" customWidth="1"/>
    <col min="9" max="16384" width="9.140625" style="52"/>
  </cols>
  <sheetData>
    <row r="1" spans="1:10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53"/>
      <c r="J1" s="53"/>
    </row>
    <row r="2" spans="1:10" x14ac:dyDescent="0.25">
      <c r="A2" s="53"/>
      <c r="B2" s="53"/>
      <c r="C2" s="53"/>
      <c r="D2" s="53"/>
      <c r="E2" s="63" t="s">
        <v>1</v>
      </c>
      <c r="F2" s="53"/>
      <c r="G2" s="53"/>
      <c r="H2" s="53"/>
      <c r="I2" s="53"/>
      <c r="J2" s="53"/>
    </row>
    <row r="3" spans="1:10" x14ac:dyDescent="0.25">
      <c r="A3" s="110" t="s">
        <v>277</v>
      </c>
      <c r="B3" s="110"/>
      <c r="C3" s="110"/>
      <c r="D3" s="110"/>
      <c r="E3" s="110"/>
      <c r="F3" s="110"/>
      <c r="G3" s="110"/>
      <c r="H3" s="110"/>
      <c r="I3" s="53"/>
      <c r="J3" s="53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53"/>
      <c r="J4" s="53"/>
    </row>
    <row r="5" spans="1:10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53"/>
      <c r="J6" s="53"/>
    </row>
    <row r="7" spans="1:10" ht="57" x14ac:dyDescent="0.25">
      <c r="A7" s="112"/>
      <c r="B7" s="113"/>
      <c r="C7" s="113"/>
      <c r="D7" s="113"/>
      <c r="E7" s="113"/>
      <c r="F7" s="79" t="s">
        <v>11</v>
      </c>
      <c r="G7" s="79" t="s">
        <v>12</v>
      </c>
      <c r="H7" s="113"/>
      <c r="I7" s="53"/>
      <c r="J7" s="53"/>
    </row>
    <row r="8" spans="1:10" x14ac:dyDescent="0.25">
      <c r="A8" s="54">
        <v>1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3"/>
      <c r="J8" s="53"/>
    </row>
    <row r="9" spans="1:10" x14ac:dyDescent="0.25">
      <c r="A9" s="54">
        <v>1</v>
      </c>
      <c r="B9" s="55" t="s">
        <v>278</v>
      </c>
      <c r="C9" s="56" t="s">
        <v>14</v>
      </c>
      <c r="D9" s="55">
        <f>F9/12</f>
        <v>128379.94</v>
      </c>
      <c r="E9" s="55">
        <f>F9+G9</f>
        <v>1540559.28</v>
      </c>
      <c r="F9" s="55">
        <v>1540559.28</v>
      </c>
      <c r="G9" s="55"/>
      <c r="H9" s="57">
        <f>D9/D15</f>
        <v>3.3178697066763987</v>
      </c>
      <c r="I9" s="53"/>
      <c r="J9" s="53"/>
    </row>
    <row r="10" spans="1:10" ht="30" x14ac:dyDescent="0.25">
      <c r="A10" s="54">
        <v>2</v>
      </c>
      <c r="B10" s="55" t="s">
        <v>279</v>
      </c>
      <c r="C10" s="56" t="s">
        <v>16</v>
      </c>
      <c r="D10" s="55">
        <f>F10/12</f>
        <v>100689.90000000001</v>
      </c>
      <c r="E10" s="55">
        <f t="shared" ref="E10:E15" si="0">F10+G10</f>
        <v>1208278.8</v>
      </c>
      <c r="F10" s="55">
        <v>1208278.8</v>
      </c>
      <c r="G10" s="55"/>
      <c r="H10" s="57">
        <f>D10/D15</f>
        <v>2.6022443146357284</v>
      </c>
      <c r="I10" s="53"/>
      <c r="J10" s="53"/>
    </row>
    <row r="11" spans="1:10" ht="30" x14ac:dyDescent="0.25">
      <c r="A11" s="54">
        <v>3</v>
      </c>
      <c r="B11" s="55" t="s">
        <v>280</v>
      </c>
      <c r="C11" s="56" t="s">
        <v>20</v>
      </c>
      <c r="D11" s="55">
        <f>E11/5</f>
        <v>75213.923999999999</v>
      </c>
      <c r="E11" s="55">
        <f t="shared" si="0"/>
        <v>376069.62</v>
      </c>
      <c r="F11" s="55">
        <v>376069.62</v>
      </c>
      <c r="G11" s="55"/>
      <c r="H11" s="57">
        <f>D11/D15</f>
        <v>1.9438395123090175</v>
      </c>
      <c r="I11" s="53"/>
      <c r="J11" s="53"/>
    </row>
    <row r="12" spans="1:10" ht="30" x14ac:dyDescent="0.25">
      <c r="A12" s="54">
        <v>4</v>
      </c>
      <c r="B12" s="55" t="s">
        <v>281</v>
      </c>
      <c r="C12" s="56" t="s">
        <v>20</v>
      </c>
      <c r="D12" s="55">
        <f>E12/5</f>
        <v>69930.097999999998</v>
      </c>
      <c r="E12" s="55">
        <f t="shared" si="0"/>
        <v>349650.49</v>
      </c>
      <c r="F12" s="55">
        <v>349650.49</v>
      </c>
      <c r="G12" s="55"/>
      <c r="H12" s="57">
        <f>D12/D15</f>
        <v>1.8072835502112854</v>
      </c>
      <c r="I12" s="53"/>
      <c r="J12" s="53"/>
    </row>
    <row r="13" spans="1:10" ht="30" x14ac:dyDescent="0.25">
      <c r="A13" s="54">
        <v>5</v>
      </c>
      <c r="B13" s="55" t="s">
        <v>282</v>
      </c>
      <c r="C13" s="56" t="s">
        <v>47</v>
      </c>
      <c r="D13" s="55">
        <f t="shared" ref="D13" si="1">F13/12</f>
        <v>83774.055000000008</v>
      </c>
      <c r="E13" s="55">
        <f t="shared" si="0"/>
        <v>1005288.66</v>
      </c>
      <c r="F13" s="55">
        <v>1005288.66</v>
      </c>
      <c r="G13" s="55"/>
      <c r="H13" s="57">
        <f>D13/D15</f>
        <v>2.1650687739061296</v>
      </c>
      <c r="I13" s="53"/>
      <c r="J13" s="53"/>
    </row>
    <row r="14" spans="1:10" x14ac:dyDescent="0.25">
      <c r="A14" s="54">
        <v>6</v>
      </c>
      <c r="B14" s="55" t="s">
        <v>283</v>
      </c>
      <c r="C14" s="56" t="s">
        <v>28</v>
      </c>
      <c r="D14" s="55">
        <f>F14/12</f>
        <v>85057.514999999999</v>
      </c>
      <c r="E14" s="55">
        <f t="shared" si="0"/>
        <v>1020690.18</v>
      </c>
      <c r="F14" s="55">
        <v>1020690.18</v>
      </c>
      <c r="G14" s="55"/>
      <c r="H14" s="57">
        <f>D14/D15</f>
        <v>2.1982386994702861</v>
      </c>
      <c r="I14" s="53"/>
      <c r="J14" s="53"/>
    </row>
    <row r="15" spans="1:10" x14ac:dyDescent="0.25">
      <c r="A15" s="56"/>
      <c r="B15" s="105" t="s">
        <v>30</v>
      </c>
      <c r="C15" s="106"/>
      <c r="D15" s="55">
        <f>F15/12/463.9</f>
        <v>38693.484479413666</v>
      </c>
      <c r="E15" s="55">
        <f t="shared" si="0"/>
        <v>215402889.40000001</v>
      </c>
      <c r="F15" s="55">
        <v>215398889.40000001</v>
      </c>
      <c r="G15" s="55">
        <v>4000</v>
      </c>
      <c r="H15" s="54"/>
      <c r="I15" s="53"/>
      <c r="J15" s="53"/>
    </row>
    <row r="16" spans="1:10" x14ac:dyDescent="0.25">
      <c r="A16" s="53"/>
      <c r="B16" s="53"/>
      <c r="C16" s="53"/>
      <c r="D16" s="53"/>
      <c r="E16" s="58"/>
      <c r="F16" s="58"/>
      <c r="G16" s="58"/>
      <c r="H16" s="53"/>
      <c r="I16" s="53"/>
      <c r="J16" s="53"/>
    </row>
    <row r="17" spans="1:10" x14ac:dyDescent="0.25">
      <c r="A17" s="107" t="s">
        <v>31</v>
      </c>
      <c r="B17" s="107"/>
      <c r="C17" s="107"/>
      <c r="D17" s="107"/>
      <c r="E17" s="107"/>
      <c r="F17" s="107"/>
      <c r="G17" s="107"/>
      <c r="H17" s="107"/>
      <c r="I17" s="107"/>
      <c r="J17" s="107"/>
    </row>
    <row r="18" spans="1:10" x14ac:dyDescent="0.25">
      <c r="A18" s="53"/>
      <c r="B18" s="53"/>
      <c r="C18" s="53"/>
      <c r="D18" s="53"/>
      <c r="E18" s="53"/>
      <c r="F18" s="53"/>
      <c r="G18" s="53"/>
      <c r="H18" s="53"/>
      <c r="I18" s="53"/>
      <c r="J18" s="53"/>
    </row>
    <row r="19" spans="1:10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</row>
    <row r="20" spans="1:10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</row>
    <row r="21" spans="1:10" x14ac:dyDescent="0.25">
      <c r="A21" s="53"/>
      <c r="B21" s="53" t="s">
        <v>50</v>
      </c>
      <c r="C21" s="59"/>
      <c r="D21" s="60"/>
      <c r="E21" s="78" t="s">
        <v>284</v>
      </c>
      <c r="F21" s="59"/>
      <c r="G21" s="53"/>
      <c r="H21" s="53"/>
      <c r="I21" s="53"/>
      <c r="J21" s="53"/>
    </row>
    <row r="22" spans="1:10" x14ac:dyDescent="0.25">
      <c r="A22" s="53"/>
      <c r="B22" s="53"/>
      <c r="C22" s="62" t="s">
        <v>33</v>
      </c>
      <c r="D22" s="53"/>
      <c r="E22" s="108" t="s">
        <v>34</v>
      </c>
      <c r="F22" s="108"/>
      <c r="G22" s="53"/>
      <c r="H22" s="53"/>
      <c r="I22" s="53"/>
      <c r="J22" s="53"/>
    </row>
    <row r="23" spans="1:10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</row>
    <row r="24" spans="1:10" x14ac:dyDescent="0.25">
      <c r="A24" s="53"/>
      <c r="B24" s="53" t="s">
        <v>28</v>
      </c>
      <c r="C24" s="59"/>
      <c r="D24" s="60"/>
      <c r="E24" s="78" t="s">
        <v>285</v>
      </c>
      <c r="F24" s="59"/>
      <c r="G24" s="53"/>
      <c r="H24" s="53"/>
      <c r="I24" s="53"/>
      <c r="J24" s="53"/>
    </row>
    <row r="25" spans="1:10" x14ac:dyDescent="0.25">
      <c r="A25" s="53"/>
      <c r="B25" s="53"/>
      <c r="C25" s="62" t="s">
        <v>33</v>
      </c>
      <c r="D25" s="53"/>
      <c r="E25" s="108" t="s">
        <v>34</v>
      </c>
      <c r="F25" s="108"/>
      <c r="G25" s="53"/>
      <c r="H25" s="53"/>
      <c r="I25" s="53"/>
      <c r="J25" s="53"/>
    </row>
    <row r="26" spans="1:10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</row>
    <row r="28" spans="1:10" x14ac:dyDescent="0.25">
      <c r="B28" s="52" t="s">
        <v>286</v>
      </c>
    </row>
    <row r="29" spans="1:10" x14ac:dyDescent="0.25">
      <c r="B29" s="52" t="s">
        <v>287</v>
      </c>
    </row>
  </sheetData>
  <mergeCells count="14">
    <mergeCell ref="B15:C15"/>
    <mergeCell ref="A17:J17"/>
    <mergeCell ref="E22:F22"/>
    <mergeCell ref="E25:F25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C38" sqref="C38"/>
    </sheetView>
  </sheetViews>
  <sheetFormatPr defaultRowHeight="15" x14ac:dyDescent="0.25"/>
  <cols>
    <col min="1" max="1" width="9.140625" style="1"/>
    <col min="2" max="2" width="33.5703125" style="1" customWidth="1"/>
    <col min="3" max="3" width="40" style="1" customWidth="1"/>
    <col min="4" max="4" width="23.42578125" style="1" customWidth="1"/>
    <col min="5" max="5" width="31.28515625" style="1" customWidth="1"/>
    <col min="6" max="6" width="25.28515625" style="1" customWidth="1"/>
    <col min="7" max="7" width="22.5703125" style="1" customWidth="1"/>
    <col min="8" max="8" width="23.5703125" style="1" customWidth="1"/>
    <col min="9" max="16384" width="9.140625" style="1"/>
  </cols>
  <sheetData>
    <row r="1" spans="1:10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2"/>
      <c r="J1" s="2"/>
    </row>
    <row r="2" spans="1:10" x14ac:dyDescent="0.25">
      <c r="A2" s="2"/>
      <c r="B2" s="2"/>
      <c r="C2" s="2"/>
      <c r="D2" s="2"/>
      <c r="E2" s="13" t="s">
        <v>1</v>
      </c>
      <c r="F2" s="2"/>
      <c r="G2" s="2"/>
      <c r="H2" s="2"/>
      <c r="I2" s="2"/>
      <c r="J2" s="2"/>
    </row>
    <row r="3" spans="1:10" x14ac:dyDescent="0.25">
      <c r="A3" s="110" t="s">
        <v>53</v>
      </c>
      <c r="B3" s="110"/>
      <c r="C3" s="110"/>
      <c r="D3" s="110"/>
      <c r="E3" s="110"/>
      <c r="F3" s="110"/>
      <c r="G3" s="110"/>
      <c r="H3" s="110"/>
      <c r="I3" s="2"/>
      <c r="J3" s="2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2"/>
      <c r="J6" s="2"/>
    </row>
    <row r="7" spans="1:10" ht="57" x14ac:dyDescent="0.25">
      <c r="A7" s="112"/>
      <c r="B7" s="113"/>
      <c r="C7" s="113"/>
      <c r="D7" s="113"/>
      <c r="E7" s="113"/>
      <c r="F7" s="3" t="s">
        <v>11</v>
      </c>
      <c r="G7" s="3" t="s">
        <v>12</v>
      </c>
      <c r="H7" s="113"/>
      <c r="I7" s="2"/>
      <c r="J7" s="2"/>
    </row>
    <row r="8" spans="1:10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2"/>
      <c r="J8" s="2"/>
    </row>
    <row r="9" spans="1:10" x14ac:dyDescent="0.25">
      <c r="A9" s="4">
        <v>1</v>
      </c>
      <c r="B9" s="22" t="s">
        <v>54</v>
      </c>
      <c r="C9" s="22" t="s">
        <v>14</v>
      </c>
      <c r="D9" s="23">
        <f>F9/12</f>
        <v>122694.59333333334</v>
      </c>
      <c r="E9" s="23">
        <v>1656059.08</v>
      </c>
      <c r="F9" s="23">
        <f>E9-G9</f>
        <v>1472335.12</v>
      </c>
      <c r="G9" s="23">
        <f>121520+62203.96</f>
        <v>183723.96</v>
      </c>
      <c r="H9" s="24">
        <f>D9/D15</f>
        <v>3.4067797708215655</v>
      </c>
      <c r="I9" s="2"/>
      <c r="J9" s="2"/>
    </row>
    <row r="10" spans="1:10" ht="30" x14ac:dyDescent="0.25">
      <c r="A10" s="4">
        <v>2</v>
      </c>
      <c r="B10" s="22" t="s">
        <v>55</v>
      </c>
      <c r="C10" s="22" t="s">
        <v>16</v>
      </c>
      <c r="D10" s="23">
        <f t="shared" ref="D10:D14" si="0">F10/12</f>
        <v>79295.400000000009</v>
      </c>
      <c r="E10" s="23">
        <v>1204052.57</v>
      </c>
      <c r="F10" s="23">
        <f t="shared" ref="F10:F14" si="1">E10-G10</f>
        <v>951544.8</v>
      </c>
      <c r="G10" s="23">
        <f>212490.17+40017.6</f>
        <v>252507.77000000002</v>
      </c>
      <c r="H10" s="24">
        <f>D10/D15</f>
        <v>2.2017430214328191</v>
      </c>
      <c r="I10" s="2"/>
      <c r="J10" s="2"/>
    </row>
    <row r="11" spans="1:10" ht="30" x14ac:dyDescent="0.25">
      <c r="A11" s="4">
        <v>3</v>
      </c>
      <c r="B11" s="22" t="s">
        <v>56</v>
      </c>
      <c r="C11" s="22" t="s">
        <v>20</v>
      </c>
      <c r="D11" s="23">
        <f t="shared" si="0"/>
        <v>58410.129166666658</v>
      </c>
      <c r="E11" s="23">
        <v>789972.19</v>
      </c>
      <c r="F11" s="23">
        <f t="shared" si="1"/>
        <v>700921.54999999993</v>
      </c>
      <c r="G11" s="23">
        <v>89050.64</v>
      </c>
      <c r="H11" s="24">
        <f>D11/D15</f>
        <v>1.6218354945393789</v>
      </c>
      <c r="I11" s="2"/>
      <c r="J11" s="2"/>
    </row>
    <row r="12" spans="1:10" ht="30" x14ac:dyDescent="0.25">
      <c r="A12" s="4">
        <v>4</v>
      </c>
      <c r="B12" s="22" t="s">
        <v>57</v>
      </c>
      <c r="C12" s="22" t="s">
        <v>264</v>
      </c>
      <c r="D12" s="23">
        <f t="shared" si="0"/>
        <v>84687.29333333332</v>
      </c>
      <c r="E12" s="23">
        <v>1068294.2</v>
      </c>
      <c r="F12" s="23">
        <f t="shared" si="1"/>
        <v>1016247.5199999999</v>
      </c>
      <c r="G12" s="23">
        <v>52046.68</v>
      </c>
      <c r="H12" s="24">
        <f>D12/D15</f>
        <v>2.3514561639225064</v>
      </c>
      <c r="I12" s="2"/>
      <c r="J12" s="2"/>
    </row>
    <row r="13" spans="1:10" ht="30" x14ac:dyDescent="0.25">
      <c r="A13" s="4">
        <v>5</v>
      </c>
      <c r="B13" s="22" t="s">
        <v>58</v>
      </c>
      <c r="C13" s="22" t="s">
        <v>327</v>
      </c>
      <c r="D13" s="23">
        <f t="shared" si="0"/>
        <v>53892.087500000001</v>
      </c>
      <c r="E13" s="23">
        <v>715283.49</v>
      </c>
      <c r="F13" s="23">
        <f t="shared" si="1"/>
        <v>646705.05000000005</v>
      </c>
      <c r="G13" s="23">
        <v>68578.44</v>
      </c>
      <c r="H13" s="24">
        <f>D13/D15</f>
        <v>1.4963860143661785</v>
      </c>
      <c r="I13" s="2"/>
      <c r="J13" s="2"/>
    </row>
    <row r="14" spans="1:10" x14ac:dyDescent="0.25">
      <c r="A14" s="4">
        <v>6</v>
      </c>
      <c r="B14" s="22" t="s">
        <v>59</v>
      </c>
      <c r="C14" s="22" t="s">
        <v>28</v>
      </c>
      <c r="D14" s="23">
        <f t="shared" si="0"/>
        <v>84233.833333333328</v>
      </c>
      <c r="E14" s="23">
        <v>1100033.19</v>
      </c>
      <c r="F14" s="23">
        <f t="shared" si="1"/>
        <v>1010806</v>
      </c>
      <c r="G14" s="23">
        <v>89227.19</v>
      </c>
      <c r="H14" s="24">
        <f>D14/D15</f>
        <v>2.3388652394741918</v>
      </c>
      <c r="I14" s="2"/>
      <c r="J14" s="2"/>
    </row>
    <row r="15" spans="1:10" x14ac:dyDescent="0.25">
      <c r="A15" s="6"/>
      <c r="B15" s="105" t="s">
        <v>30</v>
      </c>
      <c r="C15" s="106"/>
      <c r="D15" s="23">
        <f>F15/12/190.4</f>
        <v>36014.829718137255</v>
      </c>
      <c r="E15" s="23">
        <f>99588857.32-E9-E10-E11-E12-E13-E14</f>
        <v>93055162.600000009</v>
      </c>
      <c r="F15" s="23">
        <f>E15-G15</f>
        <v>82286682.940000013</v>
      </c>
      <c r="G15" s="23">
        <f>11503614.34-G9-G10-G11-G12-G13-G14</f>
        <v>10768479.66</v>
      </c>
      <c r="H15" s="24"/>
      <c r="I15" s="2"/>
      <c r="J15" s="2"/>
    </row>
    <row r="16" spans="1:10" x14ac:dyDescent="0.25">
      <c r="A16" s="2"/>
      <c r="B16" s="2"/>
      <c r="C16" s="2"/>
      <c r="D16" s="2"/>
      <c r="E16" s="8"/>
      <c r="F16" s="8"/>
      <c r="G16" s="8"/>
      <c r="H16" s="2"/>
      <c r="I16" s="2"/>
      <c r="J16" s="2"/>
    </row>
    <row r="17" spans="1:10" x14ac:dyDescent="0.25">
      <c r="A17" s="107" t="s">
        <v>31</v>
      </c>
      <c r="B17" s="107"/>
      <c r="C17" s="107"/>
      <c r="D17" s="107"/>
      <c r="E17" s="107"/>
      <c r="F17" s="107"/>
      <c r="G17" s="107"/>
      <c r="H17" s="107"/>
      <c r="I17" s="107"/>
      <c r="J17" s="107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 t="s">
        <v>50</v>
      </c>
      <c r="C21" s="9"/>
      <c r="D21" s="10"/>
      <c r="E21" s="11" t="s">
        <v>60</v>
      </c>
      <c r="F21" s="9"/>
      <c r="G21" s="2"/>
      <c r="H21" s="2"/>
      <c r="I21" s="2"/>
      <c r="J21" s="2"/>
    </row>
    <row r="22" spans="1:10" x14ac:dyDescent="0.25">
      <c r="A22" s="2"/>
      <c r="B22" s="2"/>
      <c r="C22" s="12" t="s">
        <v>33</v>
      </c>
      <c r="D22" s="2"/>
      <c r="E22" s="111" t="s">
        <v>34</v>
      </c>
      <c r="F22" s="111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 t="s">
        <v>28</v>
      </c>
      <c r="C24" s="9"/>
      <c r="D24" s="10"/>
      <c r="E24" s="11" t="s">
        <v>61</v>
      </c>
      <c r="F24" s="9"/>
      <c r="G24" s="2"/>
      <c r="H24" s="2"/>
      <c r="I24" s="2"/>
      <c r="J24" s="2"/>
    </row>
    <row r="25" spans="1:10" x14ac:dyDescent="0.25">
      <c r="A25" s="2"/>
      <c r="B25" s="2"/>
      <c r="C25" s="12" t="s">
        <v>33</v>
      </c>
      <c r="D25" s="2"/>
      <c r="E25" s="108" t="s">
        <v>34</v>
      </c>
      <c r="F25" s="108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</sheetData>
  <mergeCells count="14">
    <mergeCell ref="B15:C15"/>
    <mergeCell ref="A17:J17"/>
    <mergeCell ref="E22:F22"/>
    <mergeCell ref="E25:F25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K10" sqref="K10"/>
    </sheetView>
  </sheetViews>
  <sheetFormatPr defaultRowHeight="15" x14ac:dyDescent="0.25"/>
  <cols>
    <col min="1" max="1" width="9.140625" style="52"/>
    <col min="2" max="2" width="20.7109375" style="52" customWidth="1"/>
    <col min="3" max="3" width="30.28515625" style="52" customWidth="1"/>
    <col min="4" max="4" width="14.42578125" style="52" customWidth="1"/>
    <col min="5" max="5" width="12.5703125" style="52" customWidth="1"/>
    <col min="6" max="6" width="17.85546875" style="52" customWidth="1"/>
    <col min="7" max="7" width="17.28515625" style="52" customWidth="1"/>
    <col min="8" max="8" width="19" style="52" customWidth="1"/>
    <col min="9" max="9" width="15.85546875" style="52" customWidth="1"/>
    <col min="10" max="16384" width="9.140625" style="52"/>
  </cols>
  <sheetData>
    <row r="1" spans="1:10" ht="18.75" customHeight="1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53"/>
    </row>
    <row r="2" spans="1:10" x14ac:dyDescent="0.25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53"/>
    </row>
    <row r="3" spans="1:10" ht="15" customHeight="1" x14ac:dyDescent="0.25">
      <c r="A3" s="118" t="s">
        <v>62</v>
      </c>
      <c r="B3" s="118"/>
      <c r="C3" s="118"/>
      <c r="D3" s="118"/>
      <c r="E3" s="118"/>
      <c r="F3" s="118"/>
      <c r="G3" s="118"/>
      <c r="H3" s="118"/>
      <c r="I3" s="118"/>
      <c r="J3" s="53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53"/>
      <c r="J4" s="53"/>
    </row>
    <row r="5" spans="1:10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328</v>
      </c>
      <c r="I6" s="113" t="s">
        <v>329</v>
      </c>
      <c r="J6" s="53"/>
    </row>
    <row r="7" spans="1:10" ht="85.5" x14ac:dyDescent="0.25">
      <c r="A7" s="112"/>
      <c r="B7" s="113"/>
      <c r="C7" s="113"/>
      <c r="D7" s="113"/>
      <c r="E7" s="113"/>
      <c r="F7" s="98" t="s">
        <v>11</v>
      </c>
      <c r="G7" s="98" t="s">
        <v>12</v>
      </c>
      <c r="H7" s="113"/>
      <c r="I7" s="113"/>
      <c r="J7" s="53"/>
    </row>
    <row r="8" spans="1:10" x14ac:dyDescent="0.25">
      <c r="A8" s="54">
        <v>1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6"/>
      <c r="J8" s="53"/>
    </row>
    <row r="9" spans="1:10" ht="45" x14ac:dyDescent="0.25">
      <c r="A9" s="54">
        <v>1</v>
      </c>
      <c r="B9" s="55" t="s">
        <v>330</v>
      </c>
      <c r="C9" s="56" t="s">
        <v>77</v>
      </c>
      <c r="D9" s="55">
        <f>E9/12</f>
        <v>145108.91666666666</v>
      </c>
      <c r="E9" s="55">
        <f>F9+G9</f>
        <v>1741307</v>
      </c>
      <c r="F9" s="55">
        <v>1509657</v>
      </c>
      <c r="G9" s="55">
        <v>231650</v>
      </c>
      <c r="H9" s="57">
        <f>D9/D13</f>
        <v>3.4478632733894465</v>
      </c>
      <c r="I9" s="56"/>
      <c r="J9" s="53"/>
    </row>
    <row r="10" spans="1:10" ht="30" x14ac:dyDescent="0.25">
      <c r="A10" s="54">
        <v>2</v>
      </c>
      <c r="B10" s="55" t="s">
        <v>331</v>
      </c>
      <c r="C10" s="56" t="s">
        <v>20</v>
      </c>
      <c r="D10" s="55">
        <f t="shared" ref="D10:D12" si="0">E10/12</f>
        <v>86568.166666666672</v>
      </c>
      <c r="E10" s="55">
        <f t="shared" ref="E10:E13" si="1">F10+G10</f>
        <v>1038818</v>
      </c>
      <c r="F10" s="55">
        <v>1038818</v>
      </c>
      <c r="G10" s="55"/>
      <c r="H10" s="57">
        <f>D10/D13</f>
        <v>2.0569046296465121</v>
      </c>
      <c r="I10" s="57">
        <f>D9/D10</f>
        <v>1.6762387636717884</v>
      </c>
      <c r="J10" s="53"/>
    </row>
    <row r="11" spans="1:10" ht="30" x14ac:dyDescent="0.25">
      <c r="A11" s="54">
        <v>3</v>
      </c>
      <c r="B11" s="55" t="s">
        <v>332</v>
      </c>
      <c r="C11" s="56" t="s">
        <v>47</v>
      </c>
      <c r="D11" s="55">
        <f t="shared" si="0"/>
        <v>84040.25</v>
      </c>
      <c r="E11" s="55">
        <f t="shared" si="1"/>
        <v>1008483</v>
      </c>
      <c r="F11" s="55">
        <v>1008483</v>
      </c>
      <c r="G11" s="55"/>
      <c r="H11" s="57">
        <f>D11/D13</f>
        <v>1.9968400158832473</v>
      </c>
      <c r="I11" s="57">
        <f>D11/D13</f>
        <v>1.9968400158832473</v>
      </c>
      <c r="J11" s="53"/>
    </row>
    <row r="12" spans="1:10" ht="30" x14ac:dyDescent="0.25">
      <c r="A12" s="54">
        <v>4</v>
      </c>
      <c r="B12" s="55" t="s">
        <v>333</v>
      </c>
      <c r="C12" s="56" t="s">
        <v>28</v>
      </c>
      <c r="D12" s="55">
        <f t="shared" si="0"/>
        <v>85173.833333333328</v>
      </c>
      <c r="E12" s="55">
        <f t="shared" si="1"/>
        <v>1022086</v>
      </c>
      <c r="F12" s="55">
        <v>1022086</v>
      </c>
      <c r="G12" s="55"/>
      <c r="H12" s="57">
        <f>D12/D13</f>
        <v>2.0237745450087354</v>
      </c>
      <c r="I12" s="57">
        <f>D12/D13</f>
        <v>2.0237745450087354</v>
      </c>
      <c r="J12" s="53"/>
    </row>
    <row r="13" spans="1:10" x14ac:dyDescent="0.25">
      <c r="A13" s="54">
        <v>5</v>
      </c>
      <c r="B13" s="105" t="s">
        <v>30</v>
      </c>
      <c r="C13" s="106"/>
      <c r="D13" s="55">
        <f>E13/12/168</f>
        <v>42086.621527777781</v>
      </c>
      <c r="E13" s="55">
        <f t="shared" si="1"/>
        <v>84846629</v>
      </c>
      <c r="F13" s="55">
        <v>84846629</v>
      </c>
      <c r="G13" s="55"/>
      <c r="H13" s="54"/>
      <c r="I13" s="57">
        <v>3.45</v>
      </c>
      <c r="J13" s="53"/>
    </row>
    <row r="14" spans="1:10" x14ac:dyDescent="0.25">
      <c r="A14" s="53"/>
      <c r="B14" s="53"/>
      <c r="C14" s="53"/>
      <c r="D14" s="53"/>
      <c r="E14" s="58"/>
      <c r="F14" s="58"/>
      <c r="G14" s="58"/>
      <c r="H14" s="53"/>
      <c r="I14" s="53"/>
      <c r="J14" s="53"/>
    </row>
    <row r="15" spans="1:10" x14ac:dyDescent="0.25">
      <c r="A15" s="107" t="s">
        <v>31</v>
      </c>
      <c r="B15" s="107"/>
      <c r="C15" s="107"/>
      <c r="D15" s="107"/>
      <c r="E15" s="107"/>
      <c r="F15" s="107"/>
      <c r="G15" s="107"/>
      <c r="H15" s="107"/>
      <c r="I15" s="107"/>
      <c r="J15" s="107"/>
    </row>
    <row r="16" spans="1:10" x14ac:dyDescent="0.25">
      <c r="A16" s="53"/>
      <c r="B16" s="53"/>
      <c r="C16" s="53"/>
      <c r="D16" s="53"/>
      <c r="E16" s="53"/>
      <c r="F16" s="53"/>
      <c r="G16" s="53"/>
      <c r="H16" s="53"/>
      <c r="I16" s="53"/>
      <c r="J16" s="53"/>
    </row>
    <row r="17" spans="1:10" x14ac:dyDescent="0.25">
      <c r="A17" s="53"/>
      <c r="B17" s="53"/>
      <c r="C17" s="53"/>
      <c r="D17" s="53"/>
      <c r="E17" s="53"/>
      <c r="F17" s="53"/>
      <c r="G17" s="53"/>
      <c r="H17" s="53"/>
      <c r="I17" s="53"/>
      <c r="J17" s="53"/>
    </row>
    <row r="18" spans="1:10" x14ac:dyDescent="0.25">
      <c r="A18" s="53"/>
      <c r="B18" s="53"/>
      <c r="C18" s="53"/>
      <c r="D18" s="53"/>
      <c r="E18" s="53"/>
      <c r="F18" s="53"/>
      <c r="G18" s="53"/>
      <c r="H18" s="53"/>
      <c r="I18" s="53"/>
      <c r="J18" s="53"/>
    </row>
    <row r="19" spans="1:10" ht="30" x14ac:dyDescent="0.25">
      <c r="A19" s="53"/>
      <c r="B19" s="53" t="s">
        <v>50</v>
      </c>
      <c r="C19" s="59"/>
      <c r="D19" s="60"/>
      <c r="F19" s="97" t="s">
        <v>64</v>
      </c>
      <c r="G19" s="53"/>
      <c r="H19" s="53"/>
      <c r="I19" s="53"/>
      <c r="J19" s="53"/>
    </row>
    <row r="20" spans="1:10" x14ac:dyDescent="0.25">
      <c r="A20" s="53"/>
      <c r="B20" s="53"/>
      <c r="C20" s="62" t="s">
        <v>33</v>
      </c>
      <c r="D20" s="53"/>
      <c r="E20" s="108" t="s">
        <v>34</v>
      </c>
      <c r="F20" s="108"/>
      <c r="G20" s="53"/>
      <c r="H20" s="53"/>
      <c r="I20" s="53"/>
      <c r="J20" s="53"/>
    </row>
    <row r="21" spans="1:10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</row>
    <row r="22" spans="1:10" x14ac:dyDescent="0.25">
      <c r="A22" s="53"/>
      <c r="B22" s="53" t="s">
        <v>28</v>
      </c>
      <c r="C22" s="59"/>
      <c r="D22" s="60"/>
      <c r="E22" s="97"/>
      <c r="F22" s="25" t="s">
        <v>65</v>
      </c>
      <c r="G22" s="53"/>
      <c r="H22" s="53"/>
      <c r="I22" s="53"/>
      <c r="J22" s="53"/>
    </row>
    <row r="23" spans="1:10" x14ac:dyDescent="0.25">
      <c r="A23" s="53"/>
      <c r="B23" s="53"/>
      <c r="C23" s="62" t="s">
        <v>33</v>
      </c>
      <c r="D23" s="53"/>
      <c r="E23" s="108" t="s">
        <v>34</v>
      </c>
      <c r="F23" s="108"/>
      <c r="G23" s="53"/>
      <c r="H23" s="53"/>
      <c r="I23" s="53"/>
      <c r="J23" s="53"/>
    </row>
    <row r="24" spans="1:10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</row>
  </sheetData>
  <mergeCells count="16">
    <mergeCell ref="A1:I1"/>
    <mergeCell ref="A2:I2"/>
    <mergeCell ref="E23:F23"/>
    <mergeCell ref="A4:H4"/>
    <mergeCell ref="A6:A7"/>
    <mergeCell ref="B6:B7"/>
    <mergeCell ref="C6:C7"/>
    <mergeCell ref="D6:D7"/>
    <mergeCell ref="E6:E7"/>
    <mergeCell ref="F6:G6"/>
    <mergeCell ref="H6:H7"/>
    <mergeCell ref="A3:I3"/>
    <mergeCell ref="I6:I7"/>
    <mergeCell ref="B13:C13"/>
    <mergeCell ref="A15:J15"/>
    <mergeCell ref="E20:F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E26" sqref="E26"/>
    </sheetView>
  </sheetViews>
  <sheetFormatPr defaultRowHeight="15" x14ac:dyDescent="0.25"/>
  <cols>
    <col min="1" max="1" width="9.140625" style="52"/>
    <col min="2" max="2" width="33.5703125" style="52" customWidth="1"/>
    <col min="3" max="3" width="30.28515625" style="52" customWidth="1"/>
    <col min="4" max="4" width="23.42578125" style="52" customWidth="1"/>
    <col min="5" max="5" width="31.28515625" style="52" customWidth="1"/>
    <col min="6" max="6" width="25.28515625" style="52" customWidth="1"/>
    <col min="7" max="7" width="22.5703125" style="52" customWidth="1"/>
    <col min="8" max="8" width="30.5703125" style="52" customWidth="1"/>
    <col min="9" max="16384" width="9.140625" style="52"/>
  </cols>
  <sheetData>
    <row r="1" spans="1:10" ht="18.75" customHeight="1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53"/>
      <c r="J1" s="53"/>
    </row>
    <row r="2" spans="1:10" x14ac:dyDescent="0.25">
      <c r="A2" s="53"/>
      <c r="B2" s="53"/>
      <c r="C2" s="53"/>
      <c r="D2" s="53"/>
      <c r="E2" s="63" t="s">
        <v>1</v>
      </c>
      <c r="F2" s="53"/>
      <c r="G2" s="53"/>
      <c r="H2" s="53"/>
      <c r="I2" s="53"/>
      <c r="J2" s="53"/>
    </row>
    <row r="3" spans="1:10" x14ac:dyDescent="0.25">
      <c r="A3" s="110" t="s">
        <v>66</v>
      </c>
      <c r="B3" s="110"/>
      <c r="C3" s="110"/>
      <c r="D3" s="110"/>
      <c r="E3" s="110"/>
      <c r="F3" s="110"/>
      <c r="G3" s="110"/>
      <c r="H3" s="110"/>
      <c r="I3" s="53"/>
      <c r="J3" s="53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53"/>
      <c r="J4" s="53"/>
    </row>
    <row r="5" spans="1:10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53"/>
      <c r="J6" s="53"/>
    </row>
    <row r="7" spans="1:10" ht="57" x14ac:dyDescent="0.25">
      <c r="A7" s="112"/>
      <c r="B7" s="113"/>
      <c r="C7" s="113"/>
      <c r="D7" s="113"/>
      <c r="E7" s="113"/>
      <c r="F7" s="102" t="s">
        <v>11</v>
      </c>
      <c r="G7" s="102" t="s">
        <v>12</v>
      </c>
      <c r="H7" s="113"/>
      <c r="I7" s="53"/>
      <c r="J7" s="53"/>
    </row>
    <row r="8" spans="1:10" x14ac:dyDescent="0.25">
      <c r="A8" s="54">
        <v>1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3"/>
      <c r="J8" s="53"/>
    </row>
    <row r="9" spans="1:10" x14ac:dyDescent="0.25">
      <c r="A9" s="54">
        <v>1</v>
      </c>
      <c r="B9" s="55" t="s">
        <v>337</v>
      </c>
      <c r="C9" s="56" t="s">
        <v>77</v>
      </c>
      <c r="D9" s="55">
        <f>F9/12</f>
        <v>108510.19666666667</v>
      </c>
      <c r="E9" s="55">
        <f>SUM(F9:G9)</f>
        <v>1408599.6900000002</v>
      </c>
      <c r="F9" s="55">
        <v>1302122.3600000001</v>
      </c>
      <c r="G9" s="55">
        <v>106477.33</v>
      </c>
      <c r="H9" s="26">
        <f>D9/D11</f>
        <v>2.5838874080226488</v>
      </c>
      <c r="I9" s="53"/>
      <c r="J9" s="53"/>
    </row>
    <row r="10" spans="1:10" ht="30" x14ac:dyDescent="0.25">
      <c r="A10" s="54">
        <v>2</v>
      </c>
      <c r="B10" s="55" t="s">
        <v>338</v>
      </c>
      <c r="C10" s="56" t="s">
        <v>28</v>
      </c>
      <c r="D10" s="55">
        <f t="shared" ref="D10" si="0">F10/12</f>
        <v>78918.65833333334</v>
      </c>
      <c r="E10" s="55">
        <f>SUM(F10:G10)</f>
        <v>947023.9</v>
      </c>
      <c r="F10" s="55">
        <v>947023.9</v>
      </c>
      <c r="G10" s="55">
        <v>0</v>
      </c>
      <c r="H10" s="26">
        <f>D10/D11</f>
        <v>1.8792420785297785</v>
      </c>
      <c r="I10" s="53"/>
      <c r="J10" s="53"/>
    </row>
    <row r="11" spans="1:10" x14ac:dyDescent="0.25">
      <c r="A11" s="56"/>
      <c r="B11" s="105" t="s">
        <v>30</v>
      </c>
      <c r="C11" s="106"/>
      <c r="D11" s="55">
        <v>41994.94</v>
      </c>
      <c r="E11" s="55">
        <f>SUM(F11:G11)</f>
        <v>39288936.149999999</v>
      </c>
      <c r="F11" s="55">
        <v>38803321.140000001</v>
      </c>
      <c r="G11" s="55">
        <v>485615.01</v>
      </c>
      <c r="H11" s="54"/>
      <c r="I11" s="53"/>
      <c r="J11" s="53"/>
    </row>
    <row r="12" spans="1:10" x14ac:dyDescent="0.25">
      <c r="A12" s="53"/>
      <c r="B12" s="53"/>
      <c r="C12" s="53"/>
      <c r="D12" s="53"/>
      <c r="E12" s="58"/>
      <c r="F12" s="58"/>
      <c r="G12" s="58"/>
      <c r="H12" s="53"/>
      <c r="I12" s="53"/>
      <c r="J12" s="53"/>
    </row>
    <row r="13" spans="1:10" x14ac:dyDescent="0.25">
      <c r="A13" s="107" t="s">
        <v>31</v>
      </c>
      <c r="B13" s="107"/>
      <c r="C13" s="107"/>
      <c r="D13" s="107"/>
      <c r="E13" s="107"/>
      <c r="F13" s="107"/>
      <c r="G13" s="107"/>
      <c r="H13" s="107"/>
      <c r="I13" s="107"/>
      <c r="J13" s="107"/>
    </row>
    <row r="14" spans="1:10" x14ac:dyDescent="0.25">
      <c r="A14" s="53"/>
      <c r="B14" s="53"/>
      <c r="C14" s="53"/>
      <c r="D14" s="53"/>
      <c r="E14" s="53"/>
      <c r="F14" s="53"/>
      <c r="G14" s="53"/>
      <c r="H14" s="53"/>
      <c r="I14" s="53"/>
      <c r="J14" s="53"/>
    </row>
    <row r="15" spans="1:10" x14ac:dyDescent="0.25">
      <c r="A15" s="53"/>
      <c r="B15" s="53"/>
      <c r="C15" s="53"/>
      <c r="D15" s="53"/>
      <c r="E15" s="58"/>
      <c r="F15" s="53"/>
      <c r="G15" s="58"/>
      <c r="H15" s="53"/>
      <c r="I15" s="53"/>
      <c r="J15" s="53"/>
    </row>
    <row r="16" spans="1:10" x14ac:dyDescent="0.25">
      <c r="A16" s="53"/>
      <c r="B16" s="53"/>
      <c r="C16" s="53"/>
      <c r="D16" s="53"/>
      <c r="E16" s="53"/>
      <c r="F16" s="53"/>
      <c r="G16" s="53"/>
      <c r="H16" s="53"/>
      <c r="I16" s="53"/>
      <c r="J16" s="53"/>
    </row>
    <row r="17" spans="1:10" x14ac:dyDescent="0.25">
      <c r="A17" s="53"/>
      <c r="B17" s="53" t="s">
        <v>14</v>
      </c>
      <c r="C17" s="59"/>
      <c r="D17" s="60"/>
      <c r="E17" s="101" t="s">
        <v>67</v>
      </c>
      <c r="F17" s="59"/>
      <c r="G17" s="53"/>
      <c r="H17" s="53"/>
      <c r="I17" s="53"/>
      <c r="J17" s="53"/>
    </row>
    <row r="18" spans="1:10" x14ac:dyDescent="0.25">
      <c r="A18" s="53"/>
      <c r="B18" s="53"/>
      <c r="C18" s="62" t="s">
        <v>33</v>
      </c>
      <c r="D18" s="53"/>
      <c r="E18" s="100" t="s">
        <v>34</v>
      </c>
      <c r="F18" s="100"/>
      <c r="G18" s="53"/>
      <c r="H18" s="53"/>
      <c r="I18" s="53"/>
      <c r="J18" s="53"/>
    </row>
    <row r="19" spans="1:10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</row>
    <row r="20" spans="1:10" x14ac:dyDescent="0.25">
      <c r="A20" s="53"/>
      <c r="B20" s="53" t="s">
        <v>28</v>
      </c>
      <c r="C20" s="59"/>
      <c r="D20" s="60"/>
      <c r="E20" s="101" t="s">
        <v>68</v>
      </c>
      <c r="F20" s="59"/>
      <c r="G20" s="53"/>
      <c r="H20" s="53"/>
      <c r="I20" s="53"/>
      <c r="J20" s="53"/>
    </row>
    <row r="21" spans="1:10" x14ac:dyDescent="0.25">
      <c r="A21" s="53"/>
      <c r="B21" s="53"/>
      <c r="C21" s="62" t="s">
        <v>33</v>
      </c>
      <c r="D21" s="53"/>
      <c r="E21" s="100" t="s">
        <v>34</v>
      </c>
      <c r="F21" s="100"/>
      <c r="G21" s="53"/>
      <c r="H21" s="53"/>
      <c r="I21" s="53"/>
      <c r="J21" s="53"/>
    </row>
    <row r="22" spans="1:10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</row>
  </sheetData>
  <mergeCells count="12">
    <mergeCell ref="B11:C11"/>
    <mergeCell ref="A13:J13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C31" sqref="C31"/>
    </sheetView>
  </sheetViews>
  <sheetFormatPr defaultRowHeight="15" x14ac:dyDescent="0.25"/>
  <cols>
    <col min="1" max="1" width="9.140625" style="1"/>
    <col min="2" max="2" width="33.5703125" style="1" customWidth="1"/>
    <col min="3" max="3" width="30.28515625" style="1" customWidth="1"/>
    <col min="4" max="4" width="23.42578125" style="1" customWidth="1"/>
    <col min="5" max="5" width="31.28515625" style="1" customWidth="1"/>
    <col min="6" max="6" width="25.28515625" style="1" customWidth="1"/>
    <col min="7" max="7" width="22.5703125" style="1" customWidth="1"/>
    <col min="8" max="8" width="30.140625" style="1" customWidth="1"/>
    <col min="9" max="16384" width="9.140625" style="1"/>
  </cols>
  <sheetData>
    <row r="1" spans="1:10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2"/>
      <c r="J1" s="2"/>
    </row>
    <row r="2" spans="1:10" x14ac:dyDescent="0.25">
      <c r="A2" s="2"/>
      <c r="B2" s="2"/>
      <c r="C2" s="2"/>
      <c r="D2" s="2"/>
      <c r="E2" s="13" t="s">
        <v>1</v>
      </c>
      <c r="F2" s="2"/>
      <c r="G2" s="2"/>
      <c r="H2" s="2"/>
      <c r="I2" s="2"/>
      <c r="J2" s="2"/>
    </row>
    <row r="3" spans="1:10" x14ac:dyDescent="0.25">
      <c r="A3" s="110" t="s">
        <v>69</v>
      </c>
      <c r="B3" s="110"/>
      <c r="C3" s="110"/>
      <c r="D3" s="110"/>
      <c r="E3" s="110"/>
      <c r="F3" s="110"/>
      <c r="G3" s="110"/>
      <c r="H3" s="110"/>
      <c r="I3" s="2"/>
      <c r="J3" s="2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2"/>
      <c r="J6" s="2"/>
    </row>
    <row r="7" spans="1:10" ht="57" x14ac:dyDescent="0.25">
      <c r="A7" s="112"/>
      <c r="B7" s="113"/>
      <c r="C7" s="113"/>
      <c r="D7" s="113"/>
      <c r="E7" s="113"/>
      <c r="F7" s="3" t="s">
        <v>11</v>
      </c>
      <c r="G7" s="3" t="s">
        <v>12</v>
      </c>
      <c r="H7" s="113"/>
      <c r="I7" s="2"/>
      <c r="J7" s="2"/>
    </row>
    <row r="8" spans="1:10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2"/>
      <c r="J8" s="2"/>
    </row>
    <row r="9" spans="1:10" x14ac:dyDescent="0.25">
      <c r="A9" s="4">
        <v>1</v>
      </c>
      <c r="B9" s="5" t="s">
        <v>70</v>
      </c>
      <c r="C9" s="6" t="s">
        <v>14</v>
      </c>
      <c r="D9" s="5">
        <f>F9/12</f>
        <v>127191.66666666667</v>
      </c>
      <c r="E9" s="5">
        <f>F9+G9</f>
        <v>1628800</v>
      </c>
      <c r="F9" s="5">
        <v>1526300</v>
      </c>
      <c r="G9" s="5">
        <v>102500</v>
      </c>
      <c r="H9" s="7">
        <f>127191.67/D15</f>
        <v>3.002493917760451</v>
      </c>
      <c r="I9" s="2"/>
      <c r="J9" s="2"/>
    </row>
    <row r="10" spans="1:10" ht="30" hidden="1" x14ac:dyDescent="0.25">
      <c r="A10" s="4">
        <v>2</v>
      </c>
      <c r="B10" s="5"/>
      <c r="C10" s="6" t="s">
        <v>63</v>
      </c>
      <c r="D10" s="5">
        <f t="shared" ref="D10:D14" si="0">F10/12</f>
        <v>0</v>
      </c>
      <c r="E10" s="5">
        <f t="shared" ref="E10:E14" si="1">F10+G10</f>
        <v>0</v>
      </c>
      <c r="F10" s="5"/>
      <c r="G10" s="5"/>
      <c r="H10" s="7"/>
      <c r="I10" s="2"/>
      <c r="J10" s="2"/>
    </row>
    <row r="11" spans="1:10" ht="30" hidden="1" x14ac:dyDescent="0.25">
      <c r="A11" s="4">
        <v>3</v>
      </c>
      <c r="B11" s="5"/>
      <c r="C11" s="6" t="s">
        <v>63</v>
      </c>
      <c r="D11" s="5">
        <f t="shared" si="0"/>
        <v>0</v>
      </c>
      <c r="E11" s="5">
        <f t="shared" si="1"/>
        <v>0</v>
      </c>
      <c r="F11" s="5"/>
      <c r="G11" s="5"/>
      <c r="H11" s="7"/>
      <c r="I11" s="2"/>
      <c r="J11" s="2"/>
    </row>
    <row r="12" spans="1:10" ht="30" hidden="1" x14ac:dyDescent="0.25">
      <c r="A12" s="4">
        <v>4</v>
      </c>
      <c r="B12" s="5"/>
      <c r="C12" s="6" t="s">
        <v>63</v>
      </c>
      <c r="D12" s="5">
        <f t="shared" si="0"/>
        <v>0</v>
      </c>
      <c r="E12" s="5">
        <f t="shared" si="1"/>
        <v>0</v>
      </c>
      <c r="F12" s="5"/>
      <c r="G12" s="5"/>
      <c r="H12" s="7"/>
      <c r="I12" s="2"/>
      <c r="J12" s="2"/>
    </row>
    <row r="13" spans="1:10" hidden="1" x14ac:dyDescent="0.25">
      <c r="A13" s="4">
        <v>5</v>
      </c>
      <c r="B13" s="5"/>
      <c r="C13" s="6" t="s">
        <v>71</v>
      </c>
      <c r="D13" s="5">
        <f t="shared" si="0"/>
        <v>0</v>
      </c>
      <c r="E13" s="5">
        <f t="shared" si="1"/>
        <v>0</v>
      </c>
      <c r="F13" s="5"/>
      <c r="G13" s="5"/>
      <c r="H13" s="7"/>
      <c r="I13" s="2"/>
      <c r="J13" s="2"/>
    </row>
    <row r="14" spans="1:10" x14ac:dyDescent="0.25">
      <c r="A14" s="4">
        <v>6</v>
      </c>
      <c r="B14" s="5" t="s">
        <v>72</v>
      </c>
      <c r="C14" s="6" t="s">
        <v>28</v>
      </c>
      <c r="D14" s="5">
        <f t="shared" si="0"/>
        <v>99158.333333333328</v>
      </c>
      <c r="E14" s="5">
        <f t="shared" si="1"/>
        <v>1239000</v>
      </c>
      <c r="F14" s="5">
        <v>1189900</v>
      </c>
      <c r="G14" s="5">
        <v>49100</v>
      </c>
      <c r="H14" s="7">
        <f>D14/D15</f>
        <v>2.3407373511850005</v>
      </c>
      <c r="I14" s="2"/>
      <c r="J14" s="2"/>
    </row>
    <row r="15" spans="1:10" x14ac:dyDescent="0.25">
      <c r="A15" s="6"/>
      <c r="B15" s="105" t="s">
        <v>30</v>
      </c>
      <c r="C15" s="106"/>
      <c r="D15" s="5">
        <f>E15/12/125.9</f>
        <v>42362.007545671164</v>
      </c>
      <c r="E15" s="5">
        <v>64000521</v>
      </c>
      <c r="F15" s="5">
        <v>63929471</v>
      </c>
      <c r="G15" s="5">
        <v>71050</v>
      </c>
      <c r="H15" s="4"/>
      <c r="I15" s="2"/>
      <c r="J15" s="2"/>
    </row>
    <row r="16" spans="1:10" x14ac:dyDescent="0.25">
      <c r="A16" s="2"/>
      <c r="B16" s="2"/>
      <c r="C16" s="2"/>
      <c r="D16" s="2"/>
      <c r="E16" s="8"/>
      <c r="F16" s="8"/>
      <c r="G16" s="8"/>
      <c r="H16" s="2"/>
      <c r="I16" s="2"/>
      <c r="J16" s="2"/>
    </row>
    <row r="17" spans="1:10" x14ac:dyDescent="0.25">
      <c r="A17" s="107" t="s">
        <v>31</v>
      </c>
      <c r="B17" s="107"/>
      <c r="C17" s="107"/>
      <c r="D17" s="107"/>
      <c r="E17" s="107"/>
      <c r="F17" s="107"/>
      <c r="G17" s="107"/>
      <c r="H17" s="107"/>
      <c r="I17" s="107"/>
      <c r="J17" s="107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 t="s">
        <v>50</v>
      </c>
      <c r="C21" s="9"/>
      <c r="D21" s="10"/>
      <c r="E21" s="110" t="s">
        <v>73</v>
      </c>
      <c r="F21" s="110"/>
      <c r="G21" s="2"/>
      <c r="H21" s="2"/>
      <c r="I21" s="2"/>
      <c r="J21" s="2"/>
    </row>
    <row r="22" spans="1:10" x14ac:dyDescent="0.25">
      <c r="A22" s="2"/>
      <c r="B22" s="2"/>
      <c r="C22" s="12" t="s">
        <v>33</v>
      </c>
      <c r="D22" s="2"/>
      <c r="E22" s="108" t="s">
        <v>34</v>
      </c>
      <c r="F22" s="108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 t="s">
        <v>28</v>
      </c>
      <c r="C24" s="9"/>
      <c r="D24" s="10"/>
      <c r="E24" s="110" t="s">
        <v>74</v>
      </c>
      <c r="F24" s="110"/>
      <c r="G24" s="2"/>
      <c r="H24" s="2"/>
      <c r="I24" s="2"/>
      <c r="J24" s="2"/>
    </row>
    <row r="25" spans="1:10" x14ac:dyDescent="0.25">
      <c r="A25" s="2"/>
      <c r="B25" s="2"/>
      <c r="C25" s="12" t="s">
        <v>33</v>
      </c>
      <c r="D25" s="2"/>
      <c r="E25" s="108" t="s">
        <v>34</v>
      </c>
      <c r="F25" s="108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</sheetData>
  <mergeCells count="16">
    <mergeCell ref="E25:F25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5:C15"/>
    <mergeCell ref="A17:J17"/>
    <mergeCell ref="E21:F21"/>
    <mergeCell ref="E22:F22"/>
    <mergeCell ref="E24:F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D42" sqref="D42"/>
    </sheetView>
  </sheetViews>
  <sheetFormatPr defaultRowHeight="15" x14ac:dyDescent="0.25"/>
  <cols>
    <col min="1" max="1" width="9.140625" style="1"/>
    <col min="2" max="2" width="33.5703125" style="1" customWidth="1"/>
    <col min="3" max="3" width="30.28515625" style="1" customWidth="1"/>
    <col min="4" max="4" width="23.42578125" style="1" customWidth="1"/>
    <col min="5" max="5" width="31.28515625" style="1" customWidth="1"/>
    <col min="6" max="6" width="25.28515625" style="1" customWidth="1"/>
    <col min="7" max="7" width="22.5703125" style="1" customWidth="1"/>
    <col min="8" max="8" width="30.5703125" style="1" customWidth="1"/>
    <col min="9" max="16384" width="9.140625" style="1"/>
  </cols>
  <sheetData>
    <row r="1" spans="1:10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2"/>
      <c r="J1" s="2"/>
    </row>
    <row r="2" spans="1:10" x14ac:dyDescent="0.25">
      <c r="A2" s="2"/>
      <c r="B2" s="2"/>
      <c r="C2" s="2"/>
      <c r="D2" s="2"/>
      <c r="E2" s="13" t="s">
        <v>1</v>
      </c>
      <c r="F2" s="2"/>
      <c r="G2" s="2"/>
      <c r="H2" s="2"/>
      <c r="I2" s="2"/>
      <c r="J2" s="2"/>
    </row>
    <row r="3" spans="1:10" x14ac:dyDescent="0.25">
      <c r="A3" s="110" t="s">
        <v>75</v>
      </c>
      <c r="B3" s="110"/>
      <c r="C3" s="110"/>
      <c r="D3" s="110"/>
      <c r="E3" s="110"/>
      <c r="F3" s="110"/>
      <c r="G3" s="110"/>
      <c r="H3" s="110"/>
      <c r="I3" s="2"/>
      <c r="J3" s="2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2"/>
      <c r="J6" s="2"/>
    </row>
    <row r="7" spans="1:10" ht="57" x14ac:dyDescent="0.25">
      <c r="A7" s="112"/>
      <c r="B7" s="113"/>
      <c r="C7" s="113"/>
      <c r="D7" s="113"/>
      <c r="E7" s="113"/>
      <c r="F7" s="3" t="s">
        <v>11</v>
      </c>
      <c r="G7" s="3" t="s">
        <v>12</v>
      </c>
      <c r="H7" s="113"/>
      <c r="I7" s="2"/>
      <c r="J7" s="2"/>
    </row>
    <row r="8" spans="1:10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2"/>
      <c r="J8" s="2"/>
    </row>
    <row r="9" spans="1:10" x14ac:dyDescent="0.25">
      <c r="A9" s="4">
        <v>1</v>
      </c>
      <c r="B9" s="6" t="s">
        <v>76</v>
      </c>
      <c r="C9" s="6" t="s">
        <v>77</v>
      </c>
      <c r="D9" s="5">
        <f>F9/12</f>
        <v>120464.75166666666</v>
      </c>
      <c r="E9" s="5">
        <f>F9+G9</f>
        <v>1597477.02</v>
      </c>
      <c r="F9" s="5">
        <v>1445577.02</v>
      </c>
      <c r="G9" s="5">
        <v>151900</v>
      </c>
      <c r="H9" s="7">
        <f>D9/D15</f>
        <v>2.7793607111043319</v>
      </c>
      <c r="I9" s="2"/>
      <c r="J9" s="2"/>
    </row>
    <row r="10" spans="1:10" ht="30" x14ac:dyDescent="0.25">
      <c r="A10" s="4">
        <v>2</v>
      </c>
      <c r="B10" s="6" t="s">
        <v>78</v>
      </c>
      <c r="C10" s="6" t="s">
        <v>43</v>
      </c>
      <c r="D10" s="5">
        <f t="shared" ref="D10:D12" si="0">F10/12</f>
        <v>95024.21166666667</v>
      </c>
      <c r="E10" s="5">
        <f t="shared" ref="E10:E15" si="1">F10+G10</f>
        <v>1140290.54</v>
      </c>
      <c r="F10" s="5">
        <v>1140290.54</v>
      </c>
      <c r="G10" s="5">
        <v>0</v>
      </c>
      <c r="H10" s="7">
        <f>D10/D15</f>
        <v>2.1923970029074917</v>
      </c>
      <c r="I10" s="2"/>
      <c r="J10" s="2"/>
    </row>
    <row r="11" spans="1:10" ht="30" x14ac:dyDescent="0.25">
      <c r="A11" s="4">
        <v>3</v>
      </c>
      <c r="B11" s="6" t="s">
        <v>79</v>
      </c>
      <c r="C11" s="6" t="s">
        <v>16</v>
      </c>
      <c r="D11" s="5">
        <f t="shared" si="0"/>
        <v>87192.896666666667</v>
      </c>
      <c r="E11" s="5">
        <f t="shared" si="1"/>
        <v>1080421.1300000001</v>
      </c>
      <c r="F11" s="5">
        <v>1046314.76</v>
      </c>
      <c r="G11" s="5">
        <v>34106.370000000003</v>
      </c>
      <c r="H11" s="7">
        <f>D11/D15</f>
        <v>2.0117130358039024</v>
      </c>
      <c r="I11" s="2"/>
      <c r="J11" s="2"/>
    </row>
    <row r="12" spans="1:10" ht="30" x14ac:dyDescent="0.25">
      <c r="A12" s="4">
        <v>4</v>
      </c>
      <c r="B12" s="6" t="s">
        <v>80</v>
      </c>
      <c r="C12" s="6" t="s">
        <v>47</v>
      </c>
      <c r="D12" s="5">
        <f t="shared" si="0"/>
        <v>99887.588333333333</v>
      </c>
      <c r="E12" s="5">
        <f t="shared" si="1"/>
        <v>1198651.06</v>
      </c>
      <c r="F12" s="5">
        <v>1198651.06</v>
      </c>
      <c r="G12" s="5">
        <v>0</v>
      </c>
      <c r="H12" s="7">
        <f>D12/D13</f>
        <v>1.4685504918981269</v>
      </c>
      <c r="I12" s="2"/>
      <c r="J12" s="2"/>
    </row>
    <row r="13" spans="1:10" x14ac:dyDescent="0.25">
      <c r="A13" s="4">
        <v>5</v>
      </c>
      <c r="B13" s="6" t="s">
        <v>81</v>
      </c>
      <c r="C13" s="6" t="s">
        <v>82</v>
      </c>
      <c r="D13" s="5">
        <f>F13/2</f>
        <v>68017.81</v>
      </c>
      <c r="E13" s="5">
        <f t="shared" si="1"/>
        <v>193892.03</v>
      </c>
      <c r="F13" s="5">
        <v>136035.62</v>
      </c>
      <c r="G13" s="5">
        <v>57856.41</v>
      </c>
      <c r="H13" s="7">
        <f>D13/D15</f>
        <v>1.5693057608458054</v>
      </c>
      <c r="I13" s="2"/>
      <c r="J13" s="2"/>
    </row>
    <row r="14" spans="1:10" x14ac:dyDescent="0.25">
      <c r="A14" s="4">
        <v>6</v>
      </c>
      <c r="B14" s="6" t="s">
        <v>83</v>
      </c>
      <c r="C14" s="6" t="s">
        <v>28</v>
      </c>
      <c r="D14" s="5">
        <f>F14/11</f>
        <v>95531.626363636358</v>
      </c>
      <c r="E14" s="5">
        <f t="shared" si="1"/>
        <v>1262026.3899999999</v>
      </c>
      <c r="F14" s="5">
        <v>1050847.8899999999</v>
      </c>
      <c r="G14" s="5">
        <v>211178.5</v>
      </c>
      <c r="H14" s="7">
        <f>D14/D15</f>
        <v>2.2041040662059479</v>
      </c>
      <c r="I14" s="2"/>
      <c r="J14" s="2"/>
    </row>
    <row r="15" spans="1:10" x14ac:dyDescent="0.25">
      <c r="A15" s="6"/>
      <c r="B15" s="105" t="s">
        <v>30</v>
      </c>
      <c r="C15" s="106"/>
      <c r="D15" s="5">
        <f>F15/12/218.2</f>
        <v>43342.61155285671</v>
      </c>
      <c r="E15" s="5">
        <f t="shared" si="1"/>
        <v>117553022.66</v>
      </c>
      <c r="F15" s="5">
        <v>113488294.09</v>
      </c>
      <c r="G15" s="5">
        <v>4064728.57</v>
      </c>
      <c r="H15" s="7"/>
      <c r="I15" s="2"/>
      <c r="J15" s="2"/>
    </row>
    <row r="16" spans="1:10" x14ac:dyDescent="0.25">
      <c r="A16" s="2"/>
      <c r="B16" s="2"/>
      <c r="C16" s="2"/>
      <c r="D16" s="2"/>
      <c r="E16" s="8"/>
      <c r="F16" s="8"/>
      <c r="G16" s="8"/>
      <c r="H16" s="2"/>
      <c r="I16" s="2"/>
      <c r="J16" s="2"/>
    </row>
    <row r="17" spans="1:10" x14ac:dyDescent="0.25">
      <c r="A17" s="107" t="s">
        <v>31</v>
      </c>
      <c r="B17" s="107"/>
      <c r="C17" s="107"/>
      <c r="D17" s="107"/>
      <c r="E17" s="107"/>
      <c r="F17" s="107"/>
      <c r="G17" s="107"/>
      <c r="H17" s="107"/>
      <c r="I17" s="107"/>
      <c r="J17" s="107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 t="s">
        <v>14</v>
      </c>
      <c r="C21" s="9"/>
      <c r="D21" s="10"/>
      <c r="E21" s="11" t="s">
        <v>84</v>
      </c>
      <c r="F21" s="9"/>
      <c r="G21" s="2"/>
      <c r="H21" s="2"/>
      <c r="I21" s="2"/>
      <c r="J21" s="2"/>
    </row>
    <row r="22" spans="1:10" x14ac:dyDescent="0.25">
      <c r="A22" s="2"/>
      <c r="B22" s="2"/>
      <c r="C22" s="12" t="s">
        <v>33</v>
      </c>
      <c r="D22" s="2"/>
      <c r="E22" s="108" t="s">
        <v>34</v>
      </c>
      <c r="F22" s="108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 t="s">
        <v>85</v>
      </c>
      <c r="C24" s="9"/>
      <c r="D24" s="10"/>
      <c r="E24" s="11" t="s">
        <v>86</v>
      </c>
      <c r="F24" s="9"/>
      <c r="G24" s="2"/>
      <c r="H24" s="2"/>
      <c r="I24" s="2"/>
      <c r="J24" s="2"/>
    </row>
    <row r="25" spans="1:10" x14ac:dyDescent="0.25">
      <c r="A25" s="2"/>
      <c r="B25" s="2"/>
      <c r="C25" s="12" t="s">
        <v>33</v>
      </c>
      <c r="D25" s="2"/>
      <c r="E25" s="108" t="s">
        <v>34</v>
      </c>
      <c r="F25" s="108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</sheetData>
  <mergeCells count="14">
    <mergeCell ref="B15:C15"/>
    <mergeCell ref="A17:J17"/>
    <mergeCell ref="E22:F22"/>
    <mergeCell ref="E25:F25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B13" sqref="B13"/>
    </sheetView>
  </sheetViews>
  <sheetFormatPr defaultRowHeight="15" x14ac:dyDescent="0.25"/>
  <cols>
    <col min="1" max="1" width="9.140625" style="1"/>
    <col min="2" max="2" width="33.5703125" style="1" customWidth="1"/>
    <col min="3" max="3" width="30.28515625" style="1" customWidth="1"/>
    <col min="4" max="4" width="23.42578125" style="1" customWidth="1"/>
    <col min="5" max="5" width="31.28515625" style="1" customWidth="1"/>
    <col min="6" max="6" width="25.28515625" style="1" customWidth="1"/>
    <col min="7" max="7" width="22.5703125" style="1" customWidth="1"/>
    <col min="8" max="8" width="30.5703125" style="1" customWidth="1"/>
    <col min="9" max="16384" width="9.140625" style="1"/>
  </cols>
  <sheetData>
    <row r="1" spans="1:10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2"/>
      <c r="J1" s="2"/>
    </row>
    <row r="2" spans="1:10" x14ac:dyDescent="0.25">
      <c r="A2" s="2"/>
      <c r="B2" s="2"/>
      <c r="C2" s="2"/>
      <c r="D2" s="2"/>
      <c r="E2" s="13" t="s">
        <v>1</v>
      </c>
      <c r="F2" s="2"/>
      <c r="G2" s="2"/>
      <c r="H2" s="2"/>
      <c r="I2" s="2"/>
      <c r="J2" s="2"/>
    </row>
    <row r="3" spans="1:10" ht="20.25" x14ac:dyDescent="0.3">
      <c r="A3" s="119" t="s">
        <v>87</v>
      </c>
      <c r="B3" s="119"/>
      <c r="C3" s="119"/>
      <c r="D3" s="119"/>
      <c r="E3" s="119"/>
      <c r="F3" s="119"/>
      <c r="G3" s="119"/>
      <c r="H3" s="119"/>
      <c r="I3" s="2"/>
      <c r="J3" s="2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2"/>
      <c r="J6" s="2"/>
    </row>
    <row r="7" spans="1:10" ht="57" x14ac:dyDescent="0.25">
      <c r="A7" s="112"/>
      <c r="B7" s="113"/>
      <c r="C7" s="113"/>
      <c r="D7" s="113"/>
      <c r="E7" s="113"/>
      <c r="F7" s="17" t="s">
        <v>11</v>
      </c>
      <c r="G7" s="17" t="s">
        <v>12</v>
      </c>
      <c r="H7" s="113"/>
      <c r="I7" s="2"/>
      <c r="J7" s="2"/>
    </row>
    <row r="8" spans="1:10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2"/>
      <c r="J8" s="2"/>
    </row>
    <row r="9" spans="1:10" x14ac:dyDescent="0.25">
      <c r="A9" s="4">
        <v>1</v>
      </c>
      <c r="B9" s="6" t="s">
        <v>88</v>
      </c>
      <c r="C9" s="6" t="s">
        <v>77</v>
      </c>
      <c r="D9" s="5">
        <f>F9/12</f>
        <v>114219.58916666667</v>
      </c>
      <c r="E9" s="5">
        <f>F9+G9</f>
        <v>1370635.07</v>
      </c>
      <c r="F9" s="5">
        <v>1370635.07</v>
      </c>
      <c r="G9" s="5">
        <v>0</v>
      </c>
      <c r="H9" s="7">
        <f>D9/D12</f>
        <v>2.7913950322591923</v>
      </c>
      <c r="I9" s="2"/>
      <c r="J9" s="2"/>
    </row>
    <row r="10" spans="1:10" ht="30" x14ac:dyDescent="0.25">
      <c r="A10" s="4">
        <v>2</v>
      </c>
      <c r="B10" s="6" t="s">
        <v>89</v>
      </c>
      <c r="C10" s="6" t="s">
        <v>16</v>
      </c>
      <c r="D10" s="5">
        <f>F10/12</f>
        <v>86433.84</v>
      </c>
      <c r="E10" s="5">
        <f>F10+G10</f>
        <v>1037206.08</v>
      </c>
      <c r="F10" s="5">
        <v>1037206.08</v>
      </c>
      <c r="G10" s="5">
        <v>0</v>
      </c>
      <c r="H10" s="7">
        <f>D10/D12</f>
        <v>2.1123433673275485</v>
      </c>
      <c r="I10" s="2"/>
      <c r="J10" s="2"/>
    </row>
    <row r="11" spans="1:10" x14ac:dyDescent="0.25">
      <c r="A11" s="4">
        <v>3</v>
      </c>
      <c r="B11" s="6" t="s">
        <v>90</v>
      </c>
      <c r="C11" s="6" t="s">
        <v>28</v>
      </c>
      <c r="D11" s="5">
        <f>F11/12</f>
        <v>82487.429166666669</v>
      </c>
      <c r="E11" s="5">
        <f>F11+G11</f>
        <v>989849.15</v>
      </c>
      <c r="F11" s="5">
        <v>989849.15</v>
      </c>
      <c r="G11" s="5">
        <v>0</v>
      </c>
      <c r="H11" s="7">
        <f>D11/D12</f>
        <v>2.0158976378708768</v>
      </c>
      <c r="I11" s="2"/>
      <c r="J11" s="2"/>
    </row>
    <row r="12" spans="1:10" x14ac:dyDescent="0.25">
      <c r="A12" s="6"/>
      <c r="B12" s="105" t="s">
        <v>30</v>
      </c>
      <c r="C12" s="106"/>
      <c r="D12" s="5">
        <f>F12/12/132.8</f>
        <v>40918.461144578308</v>
      </c>
      <c r="E12" s="5">
        <f>F12+G12</f>
        <v>65207659.68</v>
      </c>
      <c r="F12" s="5">
        <v>65207659.68</v>
      </c>
      <c r="G12" s="5">
        <v>0</v>
      </c>
      <c r="H12" s="4"/>
      <c r="I12" s="2"/>
      <c r="J12" s="2"/>
    </row>
    <row r="13" spans="1:10" x14ac:dyDescent="0.25">
      <c r="A13" s="2"/>
      <c r="B13" s="2"/>
      <c r="C13" s="2"/>
      <c r="D13" s="2"/>
      <c r="E13" s="8"/>
      <c r="F13" s="8"/>
      <c r="G13" s="8"/>
      <c r="H13" s="2"/>
      <c r="I13" s="2"/>
      <c r="J13" s="2"/>
    </row>
    <row r="14" spans="1:10" x14ac:dyDescent="0.25">
      <c r="A14" s="107" t="s">
        <v>31</v>
      </c>
      <c r="B14" s="107"/>
      <c r="C14" s="107"/>
      <c r="D14" s="107"/>
      <c r="E14" s="107"/>
      <c r="F14" s="107"/>
      <c r="G14" s="107"/>
      <c r="H14" s="107"/>
      <c r="I14" s="107"/>
      <c r="J14" s="107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s="2" customFormat="1" x14ac:dyDescent="0.25">
      <c r="B18" s="2" t="s">
        <v>14</v>
      </c>
      <c r="C18" s="9"/>
      <c r="D18" s="10"/>
      <c r="E18" s="110" t="s">
        <v>91</v>
      </c>
      <c r="F18" s="110"/>
    </row>
    <row r="19" spans="1:10" s="2" customFormat="1" x14ac:dyDescent="0.25">
      <c r="C19" s="12" t="s">
        <v>33</v>
      </c>
      <c r="E19" s="111" t="s">
        <v>34</v>
      </c>
      <c r="F19" s="111"/>
    </row>
    <row r="20" spans="1:10" s="2" customFormat="1" x14ac:dyDescent="0.25"/>
    <row r="21" spans="1:10" s="2" customFormat="1" x14ac:dyDescent="0.25">
      <c r="B21" s="2" t="s">
        <v>28</v>
      </c>
      <c r="C21" s="9"/>
      <c r="D21" s="10"/>
      <c r="E21" s="110" t="s">
        <v>92</v>
      </c>
      <c r="F21" s="110"/>
    </row>
    <row r="22" spans="1:10" s="2" customFormat="1" x14ac:dyDescent="0.25">
      <c r="C22" s="12" t="s">
        <v>33</v>
      </c>
      <c r="E22" s="111" t="s">
        <v>34</v>
      </c>
      <c r="F22" s="111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</sheetData>
  <mergeCells count="16">
    <mergeCell ref="E22:F22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2:C12"/>
    <mergeCell ref="A14:J14"/>
    <mergeCell ref="E18:F18"/>
    <mergeCell ref="E19:F19"/>
    <mergeCell ref="E21:F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8"/>
  <sheetViews>
    <sheetView workbookViewId="0">
      <selection activeCell="E36" sqref="E36"/>
    </sheetView>
  </sheetViews>
  <sheetFormatPr defaultRowHeight="15" x14ac:dyDescent="0.25"/>
  <cols>
    <col min="1" max="1" width="9.140625" style="52"/>
    <col min="2" max="2" width="33.5703125" style="52" customWidth="1"/>
    <col min="3" max="3" width="30.28515625" style="52" customWidth="1"/>
    <col min="4" max="4" width="23.42578125" style="52" customWidth="1"/>
    <col min="5" max="5" width="31.28515625" style="52" customWidth="1"/>
    <col min="6" max="6" width="25.28515625" style="52" customWidth="1"/>
    <col min="7" max="7" width="22.5703125" style="52" customWidth="1"/>
    <col min="8" max="8" width="30.5703125" style="52" customWidth="1"/>
    <col min="9" max="9" width="11.42578125" style="52" bestFit="1" customWidth="1"/>
    <col min="10" max="16384" width="9.140625" style="52"/>
  </cols>
  <sheetData>
    <row r="1" spans="1:10" ht="18.75" customHeight="1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53"/>
      <c r="J1" s="53"/>
    </row>
    <row r="2" spans="1:10" x14ac:dyDescent="0.25">
      <c r="A2" s="53"/>
      <c r="B2" s="53"/>
      <c r="C2" s="53"/>
      <c r="D2" s="53"/>
      <c r="E2" s="63" t="s">
        <v>1</v>
      </c>
      <c r="F2" s="53"/>
      <c r="G2" s="53"/>
      <c r="H2" s="53"/>
      <c r="I2" s="53"/>
      <c r="J2" s="53"/>
    </row>
    <row r="3" spans="1:10" x14ac:dyDescent="0.25">
      <c r="A3" s="110" t="s">
        <v>93</v>
      </c>
      <c r="B3" s="110"/>
      <c r="C3" s="110"/>
      <c r="D3" s="110"/>
      <c r="E3" s="110"/>
      <c r="F3" s="110"/>
      <c r="G3" s="110"/>
      <c r="H3" s="110"/>
      <c r="I3" s="53"/>
      <c r="J3" s="53"/>
    </row>
    <row r="4" spans="1:10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53"/>
      <c r="J4" s="53"/>
    </row>
    <row r="5" spans="1:10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112" t="s">
        <v>4</v>
      </c>
      <c r="B6" s="113" t="s">
        <v>5</v>
      </c>
      <c r="C6" s="113" t="s">
        <v>6</v>
      </c>
      <c r="D6" s="113" t="s">
        <v>7</v>
      </c>
      <c r="E6" s="113" t="s">
        <v>8</v>
      </c>
      <c r="F6" s="114" t="s">
        <v>9</v>
      </c>
      <c r="G6" s="114"/>
      <c r="H6" s="113" t="s">
        <v>10</v>
      </c>
      <c r="I6" s="53"/>
      <c r="J6" s="53"/>
    </row>
    <row r="7" spans="1:10" ht="57" x14ac:dyDescent="0.25">
      <c r="A7" s="112"/>
      <c r="B7" s="113"/>
      <c r="C7" s="113"/>
      <c r="D7" s="113"/>
      <c r="E7" s="113"/>
      <c r="F7" s="104" t="s">
        <v>11</v>
      </c>
      <c r="G7" s="104" t="s">
        <v>12</v>
      </c>
      <c r="H7" s="113"/>
      <c r="I7" s="53"/>
      <c r="J7" s="53"/>
    </row>
    <row r="8" spans="1:10" x14ac:dyDescent="0.25">
      <c r="A8" s="54">
        <v>1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3"/>
      <c r="J8" s="53"/>
    </row>
    <row r="9" spans="1:10" x14ac:dyDescent="0.25">
      <c r="A9" s="54">
        <v>1</v>
      </c>
      <c r="B9" s="56" t="s">
        <v>361</v>
      </c>
      <c r="C9" s="56" t="s">
        <v>77</v>
      </c>
      <c r="D9" s="55">
        <f>F9/12</f>
        <v>121061.52166666667</v>
      </c>
      <c r="E9" s="55">
        <v>1758202.27</v>
      </c>
      <c r="F9" s="55">
        <v>1452738.26</v>
      </c>
      <c r="G9" s="55">
        <f>E9-F9</f>
        <v>305464.01</v>
      </c>
      <c r="H9" s="57">
        <f>D9/D17</f>
        <v>3.4789869029761804</v>
      </c>
      <c r="I9" s="53"/>
      <c r="J9" s="53"/>
    </row>
    <row r="10" spans="1:10" ht="30" x14ac:dyDescent="0.25">
      <c r="A10" s="54">
        <v>2</v>
      </c>
      <c r="B10" s="56" t="s">
        <v>362</v>
      </c>
      <c r="C10" s="56" t="s">
        <v>43</v>
      </c>
      <c r="D10" s="55">
        <f t="shared" ref="D10:D14" si="0">F10/12</f>
        <v>78013.829166666663</v>
      </c>
      <c r="E10" s="55">
        <v>1048940.67</v>
      </c>
      <c r="F10" s="55">
        <v>936165.95</v>
      </c>
      <c r="G10" s="55">
        <f t="shared" ref="G10:G16" si="1">E10-F10</f>
        <v>112774.71999999997</v>
      </c>
      <c r="H10" s="57">
        <f>D10/D17</f>
        <v>2.2419104450806255</v>
      </c>
      <c r="I10" s="53"/>
      <c r="J10" s="53"/>
    </row>
    <row r="11" spans="1:10" ht="30" x14ac:dyDescent="0.25">
      <c r="A11" s="54">
        <v>3</v>
      </c>
      <c r="B11" s="56" t="s">
        <v>363</v>
      </c>
      <c r="C11" s="56" t="s">
        <v>16</v>
      </c>
      <c r="D11" s="55">
        <f t="shared" si="0"/>
        <v>74099.830833333326</v>
      </c>
      <c r="E11" s="55">
        <v>1041624.46</v>
      </c>
      <c r="F11" s="55">
        <v>889197.97</v>
      </c>
      <c r="G11" s="55">
        <f t="shared" si="1"/>
        <v>152426.49</v>
      </c>
      <c r="H11" s="57">
        <f>D11/D17</f>
        <v>2.1294325185481147</v>
      </c>
      <c r="I11" s="53"/>
      <c r="J11" s="53"/>
    </row>
    <row r="12" spans="1:10" ht="45" x14ac:dyDescent="0.25">
      <c r="A12" s="54">
        <v>4</v>
      </c>
      <c r="B12" s="56" t="s">
        <v>364</v>
      </c>
      <c r="C12" s="56" t="s">
        <v>365</v>
      </c>
      <c r="D12" s="55">
        <f t="shared" si="0"/>
        <v>74050.11</v>
      </c>
      <c r="E12" s="55">
        <v>1020409.23</v>
      </c>
      <c r="F12" s="55">
        <v>888601.32</v>
      </c>
      <c r="G12" s="55">
        <f t="shared" si="1"/>
        <v>131807.91000000003</v>
      </c>
      <c r="H12" s="57">
        <f>D12/D17</f>
        <v>2.1280036737294616</v>
      </c>
      <c r="I12" s="53"/>
      <c r="J12" s="53"/>
    </row>
    <row r="13" spans="1:10" ht="30" x14ac:dyDescent="0.25">
      <c r="A13" s="54">
        <v>5</v>
      </c>
      <c r="B13" s="56" t="s">
        <v>366</v>
      </c>
      <c r="C13" s="56" t="s">
        <v>47</v>
      </c>
      <c r="D13" s="55">
        <f t="shared" si="0"/>
        <v>94176.255833333344</v>
      </c>
      <c r="E13" s="55">
        <v>1257624.92</v>
      </c>
      <c r="F13" s="55">
        <v>1130115.07</v>
      </c>
      <c r="G13" s="55">
        <f t="shared" si="1"/>
        <v>127509.84999999986</v>
      </c>
      <c r="H13" s="57">
        <f>D13/D17</f>
        <v>2.7063757014192009</v>
      </c>
      <c r="I13" s="53"/>
      <c r="J13" s="53"/>
    </row>
    <row r="14" spans="1:10" x14ac:dyDescent="0.25">
      <c r="A14" s="54">
        <v>6</v>
      </c>
      <c r="B14" s="56" t="s">
        <v>367</v>
      </c>
      <c r="C14" s="56" t="s">
        <v>28</v>
      </c>
      <c r="D14" s="55">
        <f t="shared" si="0"/>
        <v>90549.896666666667</v>
      </c>
      <c r="E14" s="55">
        <v>1227869.46</v>
      </c>
      <c r="F14" s="55">
        <v>1086598.76</v>
      </c>
      <c r="G14" s="55">
        <f t="shared" si="1"/>
        <v>141270.69999999995</v>
      </c>
      <c r="H14" s="57">
        <f>D14/D17</f>
        <v>2.6021637613028501</v>
      </c>
      <c r="I14" s="53"/>
      <c r="J14" s="53"/>
    </row>
    <row r="15" spans="1:10" x14ac:dyDescent="0.25">
      <c r="A15" s="54">
        <v>7</v>
      </c>
      <c r="B15" s="31" t="s">
        <v>368</v>
      </c>
      <c r="C15" s="56" t="s">
        <v>26</v>
      </c>
      <c r="D15" s="55">
        <f>F15/10</f>
        <v>62182.154000000002</v>
      </c>
      <c r="E15" s="55">
        <v>702144.83</v>
      </c>
      <c r="F15" s="55">
        <v>621821.54</v>
      </c>
      <c r="G15" s="55">
        <f t="shared" si="1"/>
        <v>80323.289999999921</v>
      </c>
      <c r="H15" s="57">
        <f>D15/D17</f>
        <v>1.7869501092221354</v>
      </c>
      <c r="I15" s="53"/>
      <c r="J15" s="53"/>
    </row>
    <row r="16" spans="1:10" ht="45" x14ac:dyDescent="0.25">
      <c r="A16" s="54">
        <v>8</v>
      </c>
      <c r="B16" s="56" t="s">
        <v>369</v>
      </c>
      <c r="C16" s="56" t="s">
        <v>370</v>
      </c>
      <c r="D16" s="55">
        <f>F16/2</f>
        <v>32221.134999999998</v>
      </c>
      <c r="E16" s="55">
        <v>69422.25</v>
      </c>
      <c r="F16" s="55">
        <v>64442.27</v>
      </c>
      <c r="G16" s="55">
        <f t="shared" si="1"/>
        <v>4979.9800000000032</v>
      </c>
      <c r="H16" s="57">
        <f>D16/D17</f>
        <v>0.92594992298772993</v>
      </c>
      <c r="I16" s="53"/>
      <c r="J16" s="53"/>
    </row>
    <row r="17" spans="1:10" x14ac:dyDescent="0.25">
      <c r="A17" s="56"/>
      <c r="B17" s="105" t="s">
        <v>30</v>
      </c>
      <c r="C17" s="106"/>
      <c r="D17" s="55">
        <f>F17/12/587.9</f>
        <v>34797.923948233831</v>
      </c>
      <c r="E17" s="55">
        <v>272212361.91000003</v>
      </c>
      <c r="F17" s="55">
        <f>E17-G17</f>
        <v>245492393.87000003</v>
      </c>
      <c r="G17" s="55">
        <v>26719968.039999999</v>
      </c>
      <c r="H17" s="54"/>
      <c r="I17" s="53"/>
      <c r="J17" s="53"/>
    </row>
    <row r="18" spans="1:10" x14ac:dyDescent="0.25">
      <c r="A18" s="53"/>
      <c r="B18" s="53"/>
      <c r="C18" s="53"/>
      <c r="D18" s="53"/>
      <c r="E18" s="58"/>
      <c r="F18" s="58"/>
      <c r="G18" s="58"/>
      <c r="H18" s="53"/>
      <c r="I18" s="53"/>
      <c r="J18" s="53"/>
    </row>
    <row r="19" spans="1:10" x14ac:dyDescent="0.25">
      <c r="A19" s="107" t="s">
        <v>31</v>
      </c>
      <c r="B19" s="107"/>
      <c r="C19" s="107"/>
      <c r="D19" s="107"/>
      <c r="E19" s="107"/>
      <c r="F19" s="107"/>
      <c r="G19" s="107"/>
      <c r="H19" s="107"/>
      <c r="I19" s="107"/>
      <c r="J19" s="107"/>
    </row>
    <row r="20" spans="1:10" x14ac:dyDescent="0.25">
      <c r="A20" s="53"/>
      <c r="B20" s="53"/>
      <c r="C20" s="53"/>
      <c r="D20" s="53"/>
      <c r="E20" s="58"/>
      <c r="F20" s="53"/>
      <c r="G20" s="53"/>
      <c r="H20" s="53"/>
      <c r="I20" s="53"/>
      <c r="J20" s="53"/>
    </row>
    <row r="21" spans="1:10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</row>
    <row r="22" spans="1:10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</row>
    <row r="23" spans="1:10" x14ac:dyDescent="0.25">
      <c r="A23" s="53"/>
      <c r="B23" s="53" t="s">
        <v>50</v>
      </c>
      <c r="C23" s="59"/>
      <c r="D23" s="60"/>
      <c r="E23" s="103" t="s">
        <v>94</v>
      </c>
      <c r="F23" s="59"/>
      <c r="G23" s="53"/>
      <c r="H23" s="53"/>
      <c r="I23" s="53"/>
      <c r="J23" s="53"/>
    </row>
    <row r="24" spans="1:10" x14ac:dyDescent="0.25">
      <c r="A24" s="53"/>
      <c r="B24" s="53"/>
      <c r="C24" s="62" t="s">
        <v>33</v>
      </c>
      <c r="D24" s="53"/>
      <c r="E24" s="108" t="s">
        <v>34</v>
      </c>
      <c r="F24" s="108"/>
      <c r="G24" s="53"/>
      <c r="H24" s="53"/>
      <c r="I24" s="53"/>
      <c r="J24" s="53"/>
    </row>
    <row r="25" spans="1:10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</row>
    <row r="26" spans="1:10" x14ac:dyDescent="0.25">
      <c r="A26" s="53"/>
      <c r="B26" s="53" t="s">
        <v>28</v>
      </c>
      <c r="C26" s="59"/>
      <c r="D26" s="60"/>
      <c r="E26" s="103" t="s">
        <v>95</v>
      </c>
      <c r="F26" s="59"/>
      <c r="G26" s="53"/>
      <c r="H26" s="53"/>
      <c r="I26" s="53"/>
      <c r="J26" s="53"/>
    </row>
    <row r="27" spans="1:10" x14ac:dyDescent="0.25">
      <c r="A27" s="53"/>
      <c r="B27" s="53"/>
      <c r="C27" s="62" t="s">
        <v>33</v>
      </c>
      <c r="D27" s="53"/>
      <c r="E27" s="108" t="s">
        <v>34</v>
      </c>
      <c r="F27" s="108"/>
      <c r="G27" s="53"/>
      <c r="H27" s="53"/>
      <c r="I27" s="53"/>
      <c r="J27" s="53"/>
    </row>
    <row r="28" spans="1:10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</row>
  </sheetData>
  <mergeCells count="14">
    <mergeCell ref="B17:C17"/>
    <mergeCell ref="A19:J19"/>
    <mergeCell ref="E24:F24"/>
    <mergeCell ref="E27:F27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бсмп8</vt:lpstr>
      <vt:lpstr>гб5</vt:lpstr>
      <vt:lpstr>РД2</vt:lpstr>
      <vt:lpstr>ГБ20</vt:lpstr>
      <vt:lpstr>ВЦЗСИР</vt:lpstr>
      <vt:lpstr>СП4</vt:lpstr>
      <vt:lpstr>ГБ2</vt:lpstr>
      <vt:lpstr>СП2</vt:lpstr>
      <vt:lpstr>ГБ16</vt:lpstr>
      <vt:lpstr>ГБ14</vt:lpstr>
      <vt:lpstr>ГП1</vt:lpstr>
      <vt:lpstr>ГП22</vt:lpstr>
      <vt:lpstr>БСМП1</vt:lpstr>
      <vt:lpstr>СП3</vt:lpstr>
      <vt:lpstr>СП7</vt:lpstr>
      <vt:lpstr>ВССМП</vt:lpstr>
      <vt:lpstr>БСМП10</vt:lpstr>
      <vt:lpstr>ГБ4</vt:lpstr>
      <vt:lpstr>ГП7</vt:lpstr>
      <vt:lpstr>СП6</vt:lpstr>
      <vt:lpstr>ВДКСП2</vt:lpstr>
      <vt:lpstr>РД3</vt:lpstr>
      <vt:lpstr>ГБ11</vt:lpstr>
      <vt:lpstr>ГП18</vt:lpstr>
      <vt:lpstr>ГП10</vt:lpstr>
      <vt:lpstr>СП5</vt:lpstr>
      <vt:lpstr>ГП3</vt:lpstr>
      <vt:lpstr>ГП4</vt:lpstr>
      <vt:lpstr>ГБ3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2023-03-02T14:41:34Z</dcterms:modified>
</cp:coreProperties>
</file>